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Dell\Desktop\t9 CS TAM\DT THANG 9\"/>
    </mc:Choice>
  </mc:AlternateContent>
  <xr:revisionPtr revIDLastSave="0" documentId="13_ncr:1_{68F0B666-98A8-4F7A-BE5A-AB5C1F47D3EE}" xr6:coauthVersionLast="36" xr6:coauthVersionMax="36" xr10:uidLastSave="{00000000-0000-0000-0000-000000000000}"/>
  <bookViews>
    <workbookView xWindow="0" yWindow="0" windowWidth="15360" windowHeight="6645" xr2:uid="{00000000-000D-0000-FFFF-FFFF00000000}"/>
  </bookViews>
  <sheets>
    <sheet name="giai đoạn 2021-2024" sheetId="1" r:id="rId1"/>
  </sheets>
  <definedNames>
    <definedName name="A">'giai đoạn 2021-2024'!$1:$1048576</definedName>
    <definedName name="_xlnm.Print_Area" localSheetId="0">'giai đoạn 2021-2024'!$A$1:$W$73</definedName>
    <definedName name="_xlnm.Print_Titles" localSheetId="0">'giai đoạn 2021-2024'!$A:$B,'giai đoạn 2021-2024'!$5:$7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8" i="1" l="1"/>
  <c r="P11" i="1" l="1"/>
  <c r="P12" i="1"/>
  <c r="P14" i="1"/>
  <c r="P15" i="1"/>
  <c r="P16" i="1"/>
  <c r="P17" i="1"/>
  <c r="P18" i="1"/>
  <c r="P19" i="1"/>
  <c r="P21" i="1"/>
  <c r="P24" i="1"/>
  <c r="P25" i="1"/>
  <c r="P26" i="1"/>
  <c r="P27" i="1"/>
  <c r="P28" i="1"/>
  <c r="P29" i="1"/>
  <c r="P35" i="1"/>
  <c r="P36" i="1"/>
  <c r="P37" i="1"/>
  <c r="P38" i="1"/>
  <c r="P39" i="1"/>
  <c r="P41" i="1"/>
  <c r="P42" i="1"/>
  <c r="P43" i="1"/>
  <c r="P44" i="1"/>
  <c r="P46" i="1"/>
  <c r="P47" i="1"/>
  <c r="P48" i="1"/>
  <c r="P49" i="1"/>
  <c r="P50" i="1"/>
  <c r="P51" i="1"/>
  <c r="P52" i="1"/>
  <c r="P53" i="1"/>
  <c r="P56" i="1"/>
  <c r="P57" i="1"/>
  <c r="P58" i="1"/>
  <c r="P59" i="1"/>
  <c r="P61" i="1"/>
  <c r="P62" i="1"/>
  <c r="P64" i="1"/>
  <c r="P65" i="1"/>
  <c r="P66" i="1"/>
  <c r="P67" i="1"/>
  <c r="P68" i="1"/>
  <c r="P69" i="1"/>
  <c r="P71" i="1"/>
  <c r="P72" i="1"/>
  <c r="P73" i="1"/>
  <c r="L11" i="1"/>
  <c r="L12" i="1"/>
  <c r="L14" i="1"/>
  <c r="L15" i="1"/>
  <c r="L16" i="1"/>
  <c r="L17" i="1"/>
  <c r="L18" i="1"/>
  <c r="L19" i="1"/>
  <c r="L25" i="1"/>
  <c r="L26" i="1"/>
  <c r="L27" i="1"/>
  <c r="L28" i="1"/>
  <c r="L29" i="1"/>
  <c r="L35" i="1"/>
  <c r="L36" i="1"/>
  <c r="L37" i="1"/>
  <c r="L39" i="1"/>
  <c r="L41" i="1"/>
  <c r="L42" i="1"/>
  <c r="L43" i="1"/>
  <c r="L44" i="1"/>
  <c r="L46" i="1"/>
  <c r="L47" i="1"/>
  <c r="L48" i="1"/>
  <c r="L49" i="1"/>
  <c r="L50" i="1"/>
  <c r="L51" i="1"/>
  <c r="L52" i="1"/>
  <c r="L53" i="1"/>
  <c r="L56" i="1"/>
  <c r="L58" i="1"/>
  <c r="L62" i="1"/>
  <c r="L65" i="1"/>
  <c r="L66" i="1"/>
  <c r="L67" i="1"/>
  <c r="L68" i="1"/>
  <c r="L69" i="1"/>
  <c r="L71" i="1"/>
  <c r="L72" i="1"/>
  <c r="W10" i="1"/>
  <c r="W11" i="1"/>
  <c r="W12" i="1"/>
  <c r="W14" i="1"/>
  <c r="W15" i="1"/>
  <c r="W16" i="1"/>
  <c r="W17" i="1"/>
  <c r="W18" i="1"/>
  <c r="W19" i="1"/>
  <c r="W20" i="1"/>
  <c r="W21" i="1"/>
  <c r="W23" i="1"/>
  <c r="W24" i="1"/>
  <c r="W25" i="1"/>
  <c r="W26" i="1"/>
  <c r="W27" i="1"/>
  <c r="W28" i="1"/>
  <c r="W29" i="1"/>
  <c r="W31" i="1"/>
  <c r="W32" i="1"/>
  <c r="W33" i="1"/>
  <c r="W35" i="1"/>
  <c r="W36" i="1"/>
  <c r="W37" i="1"/>
  <c r="W39" i="1"/>
  <c r="W40" i="1"/>
  <c r="W41" i="1"/>
  <c r="W42" i="1"/>
  <c r="W43" i="1"/>
  <c r="W44" i="1"/>
  <c r="W45" i="1"/>
  <c r="W46" i="1"/>
  <c r="W47" i="1"/>
  <c r="W48" i="1"/>
  <c r="W49" i="1"/>
  <c r="W50" i="1"/>
  <c r="W51" i="1"/>
  <c r="W52" i="1"/>
  <c r="W53" i="1"/>
  <c r="W54" i="1"/>
  <c r="W55" i="1"/>
  <c r="W56" i="1"/>
  <c r="W57" i="1"/>
  <c r="W58" i="1"/>
  <c r="W59" i="1"/>
  <c r="W60" i="1"/>
  <c r="W61" i="1"/>
  <c r="W62" i="1"/>
  <c r="W64" i="1"/>
  <c r="W65" i="1"/>
  <c r="W66" i="1"/>
  <c r="W67" i="1"/>
  <c r="W68" i="1"/>
  <c r="W69" i="1"/>
  <c r="W70" i="1"/>
  <c r="W71" i="1"/>
  <c r="W72" i="1"/>
  <c r="W73" i="1"/>
  <c r="S22" i="1"/>
  <c r="S13" i="1"/>
  <c r="S9" i="1" s="1"/>
  <c r="S8" i="1" s="1"/>
  <c r="S63" i="1"/>
  <c r="V15" i="1"/>
  <c r="V17" i="1"/>
  <c r="V20" i="1"/>
  <c r="V21" i="1"/>
  <c r="V29" i="1"/>
  <c r="T29" i="1" s="1"/>
  <c r="V35" i="1"/>
  <c r="V36" i="1"/>
  <c r="V37" i="1"/>
  <c r="V38" i="1"/>
  <c r="V39" i="1"/>
  <c r="V41" i="1"/>
  <c r="V43" i="1"/>
  <c r="V44" i="1"/>
  <c r="V45" i="1"/>
  <c r="V46" i="1"/>
  <c r="V48" i="1"/>
  <c r="V49" i="1"/>
  <c r="V51" i="1"/>
  <c r="V52" i="1"/>
  <c r="V53" i="1"/>
  <c r="V59" i="1"/>
  <c r="V62" i="1"/>
  <c r="V68" i="1"/>
  <c r="V72" i="1"/>
  <c r="V73" i="1"/>
  <c r="O63" i="1"/>
  <c r="W63" i="1" s="1"/>
  <c r="O22" i="1"/>
  <c r="W22" i="1" s="1"/>
  <c r="O13" i="1"/>
  <c r="O9" i="1" s="1"/>
  <c r="W9" i="1" s="1"/>
  <c r="O38" i="1"/>
  <c r="L38" i="1" s="1"/>
  <c r="O34" i="1" l="1"/>
  <c r="O30" i="1" s="1"/>
  <c r="W30" i="1" s="1"/>
  <c r="W38" i="1"/>
  <c r="W13" i="1"/>
  <c r="W34" i="1"/>
  <c r="O8" i="1"/>
  <c r="W8" i="1" s="1"/>
  <c r="U11" i="1" l="1"/>
  <c r="U12" i="1"/>
  <c r="U14" i="1"/>
  <c r="U15" i="1"/>
  <c r="T15" i="1" s="1"/>
  <c r="U16" i="1"/>
  <c r="U17" i="1"/>
  <c r="T17" i="1" s="1"/>
  <c r="U18" i="1"/>
  <c r="U19" i="1"/>
  <c r="U24" i="1"/>
  <c r="U25" i="1"/>
  <c r="U26" i="1"/>
  <c r="U27" i="1"/>
  <c r="U28" i="1"/>
  <c r="U35" i="1"/>
  <c r="T35" i="1" s="1"/>
  <c r="U37" i="1"/>
  <c r="T37" i="1" s="1"/>
  <c r="U38" i="1"/>
  <c r="T38" i="1" s="1"/>
  <c r="U41" i="1"/>
  <c r="T41" i="1" s="1"/>
  <c r="U42" i="1"/>
  <c r="U43" i="1"/>
  <c r="T43" i="1" s="1"/>
  <c r="U44" i="1"/>
  <c r="T44" i="1" s="1"/>
  <c r="U46" i="1"/>
  <c r="T46" i="1" s="1"/>
  <c r="U47" i="1"/>
  <c r="U48" i="1"/>
  <c r="T48" i="1" s="1"/>
  <c r="U49" i="1"/>
  <c r="T49" i="1" s="1"/>
  <c r="U50" i="1"/>
  <c r="U51" i="1"/>
  <c r="T51" i="1" s="1"/>
  <c r="U52" i="1"/>
  <c r="T52" i="1" s="1"/>
  <c r="U53" i="1"/>
  <c r="T53" i="1" s="1"/>
  <c r="U56" i="1"/>
  <c r="U61" i="1"/>
  <c r="U62" i="1"/>
  <c r="T62" i="1" s="1"/>
  <c r="U64" i="1"/>
  <c r="U65" i="1"/>
  <c r="U66" i="1"/>
  <c r="U67" i="1"/>
  <c r="U68" i="1"/>
  <c r="T68" i="1" s="1"/>
  <c r="U71" i="1"/>
  <c r="U72" i="1"/>
  <c r="T72" i="1" s="1"/>
  <c r="Q34" i="1"/>
  <c r="P34" i="1" s="1"/>
  <c r="Q33" i="1"/>
  <c r="P33" i="1" s="1"/>
  <c r="Q32" i="1"/>
  <c r="N40" i="1" l="1"/>
  <c r="Q70" i="1"/>
  <c r="P70" i="1" s="1"/>
  <c r="Q45" i="1"/>
  <c r="P45" i="1" s="1"/>
  <c r="N34" i="1"/>
  <c r="Q20" i="1"/>
  <c r="P20" i="1" s="1"/>
  <c r="R32" i="1"/>
  <c r="P32" i="1" s="1"/>
  <c r="Q40" i="1" l="1"/>
  <c r="P40" i="1" s="1"/>
  <c r="Q63" i="1"/>
  <c r="Q13" i="1"/>
  <c r="R13" i="1"/>
  <c r="R63" i="1"/>
  <c r="P63" i="1" l="1"/>
  <c r="P13" i="1"/>
  <c r="N13" i="1"/>
  <c r="M73" i="1"/>
  <c r="L73" i="1" s="1"/>
  <c r="M70" i="1"/>
  <c r="M45" i="1"/>
  <c r="L45" i="1" s="1"/>
  <c r="M33" i="1"/>
  <c r="K34" i="1"/>
  <c r="M34" i="1"/>
  <c r="L34" i="1" s="1"/>
  <c r="M20" i="1"/>
  <c r="L20" i="1" s="1"/>
  <c r="M59" i="1"/>
  <c r="L59" i="1" s="1"/>
  <c r="M21" i="1"/>
  <c r="L21" i="1" s="1"/>
  <c r="M63" i="1" l="1"/>
  <c r="L70" i="1"/>
  <c r="V34" i="1"/>
  <c r="M13" i="1"/>
  <c r="L13" i="1" s="1"/>
  <c r="U21" i="1"/>
  <c r="T21" i="1" s="1"/>
  <c r="N64" i="1"/>
  <c r="N61" i="1"/>
  <c r="N55" i="1"/>
  <c r="N33" i="1"/>
  <c r="L33" i="1" s="1"/>
  <c r="N32" i="1"/>
  <c r="L32" i="1" s="1"/>
  <c r="N24" i="1"/>
  <c r="N10" i="1"/>
  <c r="Q60" i="1"/>
  <c r="P60" i="1" s="1"/>
  <c r="R60" i="1"/>
  <c r="Q55" i="1"/>
  <c r="R55" i="1"/>
  <c r="Q31" i="1"/>
  <c r="Q23" i="1"/>
  <c r="R23" i="1"/>
  <c r="R22" i="1" s="1"/>
  <c r="R10" i="1"/>
  <c r="Q10" i="1"/>
  <c r="P10" i="1" s="1"/>
  <c r="I11" i="1"/>
  <c r="I12" i="1"/>
  <c r="I14" i="1"/>
  <c r="I16" i="1"/>
  <c r="I17" i="1"/>
  <c r="I18" i="1"/>
  <c r="I19" i="1"/>
  <c r="I21" i="1"/>
  <c r="I24" i="1"/>
  <c r="I25" i="1"/>
  <c r="I26" i="1"/>
  <c r="I27" i="1"/>
  <c r="I28" i="1"/>
  <c r="I33" i="1"/>
  <c r="I36" i="1"/>
  <c r="I39" i="1"/>
  <c r="I42" i="1"/>
  <c r="I43" i="1"/>
  <c r="I44" i="1"/>
  <c r="I45" i="1"/>
  <c r="I49" i="1"/>
  <c r="I56" i="1"/>
  <c r="I57" i="1"/>
  <c r="I62" i="1"/>
  <c r="I64" i="1"/>
  <c r="I65" i="1"/>
  <c r="I66" i="1"/>
  <c r="I67" i="1"/>
  <c r="I68" i="1"/>
  <c r="I69" i="1"/>
  <c r="I71" i="1"/>
  <c r="I72" i="1"/>
  <c r="I73" i="1"/>
  <c r="C11" i="1"/>
  <c r="C12" i="1"/>
  <c r="C14" i="1"/>
  <c r="C24" i="1"/>
  <c r="C25" i="1"/>
  <c r="C26" i="1"/>
  <c r="C27" i="1"/>
  <c r="C28" i="1"/>
  <c r="C32" i="1"/>
  <c r="C33" i="1"/>
  <c r="C34" i="1"/>
  <c r="C35" i="1"/>
  <c r="C36" i="1"/>
  <c r="C37" i="1"/>
  <c r="C38" i="1"/>
  <c r="C39" i="1"/>
  <c r="C41" i="1"/>
  <c r="C43" i="1"/>
  <c r="C44" i="1"/>
  <c r="C45" i="1"/>
  <c r="C46" i="1"/>
  <c r="C48" i="1"/>
  <c r="C49" i="1"/>
  <c r="C51" i="1"/>
  <c r="C52" i="1"/>
  <c r="C53" i="1"/>
  <c r="C59" i="1"/>
  <c r="C62" i="1"/>
  <c r="C65" i="1"/>
  <c r="C67" i="1"/>
  <c r="C68" i="1"/>
  <c r="C72" i="1"/>
  <c r="C73" i="1"/>
  <c r="G73" i="1"/>
  <c r="U73" i="1" s="1"/>
  <c r="T73" i="1" s="1"/>
  <c r="H71" i="1"/>
  <c r="F71" i="1" s="1"/>
  <c r="E71" i="1"/>
  <c r="V71" i="1" s="1"/>
  <c r="T71" i="1" s="1"/>
  <c r="J70" i="1"/>
  <c r="I70" i="1" s="1"/>
  <c r="H70" i="1"/>
  <c r="G70" i="1"/>
  <c r="U70" i="1" s="1"/>
  <c r="E70" i="1"/>
  <c r="G69" i="1"/>
  <c r="E69" i="1"/>
  <c r="V69" i="1" s="1"/>
  <c r="H67" i="1"/>
  <c r="E66" i="1"/>
  <c r="H65" i="1"/>
  <c r="V65" i="1" s="1"/>
  <c r="T65" i="1" s="1"/>
  <c r="E64" i="1"/>
  <c r="K63" i="1"/>
  <c r="F62" i="1"/>
  <c r="K61" i="1"/>
  <c r="I61" i="1" s="1"/>
  <c r="H61" i="1"/>
  <c r="F61" i="1" s="1"/>
  <c r="E61" i="1"/>
  <c r="G60" i="1"/>
  <c r="U60" i="1" s="1"/>
  <c r="M55" i="1"/>
  <c r="J59" i="1"/>
  <c r="J58" i="1"/>
  <c r="I58" i="1" s="1"/>
  <c r="H58" i="1"/>
  <c r="G58" i="1"/>
  <c r="E58" i="1"/>
  <c r="H57" i="1"/>
  <c r="F57" i="1" s="1"/>
  <c r="E57" i="1"/>
  <c r="V57" i="1" s="1"/>
  <c r="T57" i="1" s="1"/>
  <c r="H56" i="1"/>
  <c r="F56" i="1" s="1"/>
  <c r="E56" i="1"/>
  <c r="K55" i="1"/>
  <c r="E50" i="1"/>
  <c r="V50" i="1" s="1"/>
  <c r="T50" i="1" s="1"/>
  <c r="F49" i="1"/>
  <c r="G45" i="1"/>
  <c r="F44" i="1"/>
  <c r="F43" i="1"/>
  <c r="H42" i="1"/>
  <c r="F42" i="1" s="1"/>
  <c r="E42" i="1"/>
  <c r="M40" i="1"/>
  <c r="L40" i="1" s="1"/>
  <c r="J40" i="1"/>
  <c r="I40" i="1" s="1"/>
  <c r="G39" i="1"/>
  <c r="U39" i="1" s="1"/>
  <c r="T39" i="1" s="1"/>
  <c r="G36" i="1"/>
  <c r="J34" i="1"/>
  <c r="I34" i="1" s="1"/>
  <c r="H33" i="1"/>
  <c r="V33" i="1" s="1"/>
  <c r="G33" i="1"/>
  <c r="U33" i="1" s="1"/>
  <c r="J32" i="1"/>
  <c r="I32" i="1" s="1"/>
  <c r="H32" i="1"/>
  <c r="V32" i="1" s="1"/>
  <c r="G32" i="1"/>
  <c r="M31" i="1"/>
  <c r="K31" i="1"/>
  <c r="E31" i="1"/>
  <c r="H28" i="1"/>
  <c r="V28" i="1" s="1"/>
  <c r="T28" i="1" s="1"/>
  <c r="H27" i="1"/>
  <c r="V27" i="1" s="1"/>
  <c r="T27" i="1" s="1"/>
  <c r="H26" i="1"/>
  <c r="V26" i="1" s="1"/>
  <c r="T26" i="1" s="1"/>
  <c r="H25" i="1"/>
  <c r="V25" i="1" s="1"/>
  <c r="T25" i="1" s="1"/>
  <c r="H24" i="1"/>
  <c r="V24" i="1" s="1"/>
  <c r="T24" i="1" s="1"/>
  <c r="K23" i="1"/>
  <c r="I23" i="1" s="1"/>
  <c r="E23" i="1"/>
  <c r="J20" i="1"/>
  <c r="I20" i="1" s="1"/>
  <c r="G20" i="1"/>
  <c r="H19" i="1"/>
  <c r="V19" i="1" s="1"/>
  <c r="T19" i="1" s="1"/>
  <c r="H18" i="1"/>
  <c r="V18" i="1" s="1"/>
  <c r="T18" i="1" s="1"/>
  <c r="F17" i="1"/>
  <c r="H16" i="1"/>
  <c r="V16" i="1" s="1"/>
  <c r="T16" i="1" s="1"/>
  <c r="H14" i="1"/>
  <c r="V14" i="1" s="1"/>
  <c r="T14" i="1" s="1"/>
  <c r="E13" i="1"/>
  <c r="H12" i="1"/>
  <c r="V12" i="1" s="1"/>
  <c r="T12" i="1" s="1"/>
  <c r="H11" i="1"/>
  <c r="V11" i="1" s="1"/>
  <c r="T11" i="1" s="1"/>
  <c r="K10" i="1"/>
  <c r="I10" i="1" s="1"/>
  <c r="G10" i="1"/>
  <c r="U10" i="1" s="1"/>
  <c r="E10" i="1"/>
  <c r="T33" i="1" l="1"/>
  <c r="N60" i="1"/>
  <c r="N54" i="1" s="1"/>
  <c r="L61" i="1"/>
  <c r="V70" i="1"/>
  <c r="N63" i="1"/>
  <c r="L63" i="1" s="1"/>
  <c r="L64" i="1"/>
  <c r="T70" i="1"/>
  <c r="V42" i="1"/>
  <c r="T42" i="1" s="1"/>
  <c r="V56" i="1"/>
  <c r="T56" i="1" s="1"/>
  <c r="N23" i="1"/>
  <c r="L23" i="1" s="1"/>
  <c r="L24" i="1"/>
  <c r="P23" i="1"/>
  <c r="V61" i="1"/>
  <c r="T61" i="1" s="1"/>
  <c r="F67" i="1"/>
  <c r="V67" i="1"/>
  <c r="T67" i="1" s="1"/>
  <c r="C13" i="1"/>
  <c r="V58" i="1"/>
  <c r="L55" i="1"/>
  <c r="P55" i="1"/>
  <c r="L60" i="1"/>
  <c r="L10" i="1"/>
  <c r="N22" i="1"/>
  <c r="L22" i="1" s="1"/>
  <c r="U32" i="1"/>
  <c r="T32" i="1" s="1"/>
  <c r="C10" i="1"/>
  <c r="F45" i="1"/>
  <c r="U45" i="1"/>
  <c r="T45" i="1" s="1"/>
  <c r="I59" i="1"/>
  <c r="U59" i="1"/>
  <c r="T59" i="1" s="1"/>
  <c r="F28" i="1"/>
  <c r="F20" i="1"/>
  <c r="U20" i="1"/>
  <c r="T20" i="1" s="1"/>
  <c r="C31" i="1"/>
  <c r="C42" i="1"/>
  <c r="C57" i="1"/>
  <c r="F36" i="1"/>
  <c r="U36" i="1"/>
  <c r="T36" i="1" s="1"/>
  <c r="C64" i="1"/>
  <c r="F24" i="1"/>
  <c r="F16" i="1"/>
  <c r="F11" i="1"/>
  <c r="F26" i="1"/>
  <c r="C58" i="1"/>
  <c r="C61" i="1"/>
  <c r="C69" i="1"/>
  <c r="C71" i="1"/>
  <c r="F14" i="1"/>
  <c r="E47" i="1"/>
  <c r="V47" i="1" s="1"/>
  <c r="T47" i="1" s="1"/>
  <c r="G55" i="1"/>
  <c r="G54" i="1" s="1"/>
  <c r="U58" i="1"/>
  <c r="T58" i="1" s="1"/>
  <c r="F65" i="1"/>
  <c r="F69" i="1"/>
  <c r="U69" i="1"/>
  <c r="T69" i="1" s="1"/>
  <c r="Q54" i="1"/>
  <c r="F25" i="1"/>
  <c r="F18" i="1"/>
  <c r="C23" i="1"/>
  <c r="F27" i="1"/>
  <c r="F19" i="1"/>
  <c r="C56" i="1"/>
  <c r="C66" i="1"/>
  <c r="C70" i="1"/>
  <c r="Q22" i="1"/>
  <c r="P22" i="1" s="1"/>
  <c r="U23" i="1"/>
  <c r="N9" i="1"/>
  <c r="N31" i="1"/>
  <c r="R31" i="1"/>
  <c r="P31" i="1" s="1"/>
  <c r="R54" i="1"/>
  <c r="R9" i="1"/>
  <c r="Q9" i="1"/>
  <c r="J63" i="1"/>
  <c r="I63" i="1" s="1"/>
  <c r="H40" i="1"/>
  <c r="C50" i="1"/>
  <c r="J13" i="1"/>
  <c r="I13" i="1" s="1"/>
  <c r="G40" i="1"/>
  <c r="U40" i="1" s="1"/>
  <c r="H55" i="1"/>
  <c r="G13" i="1"/>
  <c r="K60" i="1"/>
  <c r="I60" i="1" s="1"/>
  <c r="H64" i="1"/>
  <c r="V64" i="1" s="1"/>
  <c r="T64" i="1" s="1"/>
  <c r="F58" i="1"/>
  <c r="E22" i="1"/>
  <c r="H10" i="1"/>
  <c r="F10" i="1" s="1"/>
  <c r="E40" i="1"/>
  <c r="F70" i="1"/>
  <c r="F33" i="1"/>
  <c r="K9" i="1"/>
  <c r="J31" i="1"/>
  <c r="I31" i="1" s="1"/>
  <c r="M54" i="1"/>
  <c r="F12" i="1"/>
  <c r="F32" i="1"/>
  <c r="H60" i="1"/>
  <c r="E63" i="1"/>
  <c r="H31" i="1"/>
  <c r="E9" i="1"/>
  <c r="C9" i="1" s="1"/>
  <c r="H13" i="1"/>
  <c r="V13" i="1" s="1"/>
  <c r="H23" i="1"/>
  <c r="V23" i="1" s="1"/>
  <c r="J55" i="1"/>
  <c r="K22" i="1"/>
  <c r="I22" i="1" s="1"/>
  <c r="H66" i="1"/>
  <c r="F66" i="1" s="1"/>
  <c r="G34" i="1"/>
  <c r="U34" i="1" s="1"/>
  <c r="T34" i="1" s="1"/>
  <c r="E55" i="1"/>
  <c r="G63" i="1"/>
  <c r="G31" i="1"/>
  <c r="E60" i="1"/>
  <c r="P54" i="1" l="1"/>
  <c r="V55" i="1"/>
  <c r="T23" i="1"/>
  <c r="V60" i="1"/>
  <c r="T60" i="1" s="1"/>
  <c r="P9" i="1"/>
  <c r="V63" i="1"/>
  <c r="V40" i="1"/>
  <c r="T40" i="1" s="1"/>
  <c r="V10" i="1"/>
  <c r="T10" i="1" s="1"/>
  <c r="V66" i="1"/>
  <c r="T66" i="1" s="1"/>
  <c r="F55" i="1"/>
  <c r="F64" i="1"/>
  <c r="H63" i="1"/>
  <c r="F63" i="1" s="1"/>
  <c r="N30" i="1"/>
  <c r="L54" i="1"/>
  <c r="V22" i="1"/>
  <c r="L31" i="1"/>
  <c r="V31" i="1"/>
  <c r="U31" i="1"/>
  <c r="U63" i="1"/>
  <c r="C47" i="1"/>
  <c r="Q30" i="1"/>
  <c r="R30" i="1"/>
  <c r="U13" i="1"/>
  <c r="T13" i="1" s="1"/>
  <c r="U55" i="1"/>
  <c r="T55" i="1" s="1"/>
  <c r="M30" i="1"/>
  <c r="C22" i="1"/>
  <c r="C60" i="1"/>
  <c r="C40" i="1"/>
  <c r="C55" i="1"/>
  <c r="C63" i="1"/>
  <c r="F40" i="1"/>
  <c r="F34" i="1"/>
  <c r="I55" i="1"/>
  <c r="G9" i="1"/>
  <c r="J9" i="1"/>
  <c r="H54" i="1"/>
  <c r="H30" i="1" s="1"/>
  <c r="K54" i="1"/>
  <c r="K30" i="1" s="1"/>
  <c r="M9" i="1"/>
  <c r="L9" i="1" s="1"/>
  <c r="F60" i="1"/>
  <c r="F23" i="1"/>
  <c r="H22" i="1"/>
  <c r="F22" i="1" s="1"/>
  <c r="F13" i="1"/>
  <c r="H9" i="1"/>
  <c r="V9" i="1" s="1"/>
  <c r="E54" i="1"/>
  <c r="J54" i="1"/>
  <c r="U54" i="1" s="1"/>
  <c r="F31" i="1"/>
  <c r="G30" i="1"/>
  <c r="G8" i="1" l="1"/>
  <c r="T31" i="1"/>
  <c r="V54" i="1"/>
  <c r="T63" i="1"/>
  <c r="T54" i="1"/>
  <c r="L30" i="1"/>
  <c r="P30" i="1"/>
  <c r="K8" i="1"/>
  <c r="I9" i="1"/>
  <c r="U9" i="1"/>
  <c r="T9" i="1" s="1"/>
  <c r="I54" i="1"/>
  <c r="F54" i="1"/>
  <c r="C54" i="1"/>
  <c r="F30" i="1"/>
  <c r="H8" i="1"/>
  <c r="J30" i="1"/>
  <c r="I30" i="1" s="1"/>
  <c r="E30" i="1"/>
  <c r="V30" i="1" s="1"/>
  <c r="F9" i="1"/>
  <c r="J8" i="1" l="1"/>
  <c r="C30" i="1"/>
  <c r="U30" i="1"/>
  <c r="T30" i="1" s="1"/>
  <c r="F8" i="1"/>
  <c r="E8" i="1"/>
  <c r="C8" i="1" s="1"/>
  <c r="I8" i="1"/>
  <c r="R8" i="1" l="1"/>
  <c r="Q8" i="1"/>
  <c r="P8" i="1" s="1"/>
  <c r="M8" i="1"/>
  <c r="U22" i="1"/>
  <c r="T22" i="1" s="1"/>
  <c r="N8" i="1"/>
  <c r="U8" i="1" l="1"/>
  <c r="L8" i="1"/>
  <c r="V8" i="1"/>
  <c r="T8" i="1" s="1"/>
</calcChain>
</file>

<file path=xl/sharedStrings.xml><?xml version="1.0" encoding="utf-8"?>
<sst xmlns="http://schemas.openxmlformats.org/spreadsheetml/2006/main" count="145" uniqueCount="97">
  <si>
    <t>Đơn vị: Triệu đồng</t>
  </si>
  <si>
    <t>TT</t>
  </si>
  <si>
    <t>Nội dung</t>
  </si>
  <si>
    <t>Thực hiện đến hết năm 2021</t>
  </si>
  <si>
    <t>Thực hiện đến hết năm 2022</t>
  </si>
  <si>
    <t>Thực hiện đến hết năm 2023</t>
  </si>
  <si>
    <t>vốn NS TW</t>
  </si>
  <si>
    <t>Vốn NSĐP</t>
  </si>
  <si>
    <t>A</t>
  </si>
  <si>
    <t>Dự án 1: Đẩy mạnh công tác dân số, đảm bảo quy mô, cơ cấu và chất lượng dân số phù hợp với điều kiện phát triển kinh tế- xã hội tỉnh Lào Cai</t>
  </si>
  <si>
    <t>I</t>
  </si>
  <si>
    <t>Đẩy mạnh công tác truyền thông, vận động thực hiện công tác dân số trong tình hình mới</t>
  </si>
  <si>
    <t>Triển khai Chiến dịch truyền thông lồng ghép</t>
  </si>
  <si>
    <t>a</t>
  </si>
  <si>
    <t xml:space="preserve"> Hỗ trợ chi phí vận chuyển trang thiết bị cho đội lưu động 500.000 đồng/xã/năm x 89 xã</t>
  </si>
  <si>
    <t>b</t>
  </si>
  <si>
    <t xml:space="preserve"> Hỗ trợ đối tượng (Khám và tiền thuốc, vật tư tiêu hao) mỗi năm khám 25.000 lượt người/năm </t>
  </si>
  <si>
    <t xml:space="preserve">Hoạt động truyền thông </t>
  </si>
  <si>
    <t>-</t>
  </si>
  <si>
    <t>Tuyên truyền phát động chiến dịch dân số -KHHGĐ; hưởng ứng ngày dân số thế giới 11/7, ngày dân số Việt nam 26/12, tháng hành động quốc gia về dân số hàng năm: Băng zôn, tuyên truyền phát động chiến dịch dân số (02 đợt/năm - 11/7 và 26/12) tuyến tỉnh:  48 cái x 500.000 = 24.000.000đ; Bản tin dân số (02 số x 1.000 cuốn/số x 33.000đ/cuốn = 66.000.000</t>
  </si>
  <si>
    <t xml:space="preserve">Hỗ trợ hoạt động ngoại khóa tại các trường THPT-THCS của 9/9 huyện,tp): 09 huyện x 04 trường/huyện x 5.000.000 </t>
  </si>
  <si>
    <t>Tổ chức Hội thi "Tìm hiểu kiến thức về CSSKSS vị thành niên, thanh niên"tại 03 trường/năm x 10 triệu đồng/trường</t>
  </si>
  <si>
    <t>Xây dựng các cụm pa nô tuyên truyền về công tác dân số trong tình hình mới tại các huyện, TP và các xã trọng điểm. Năm 2021 xây dựng tại 9 huyện, TP: 40 triệu đồng/cụm x 9 cụm</t>
  </si>
  <si>
    <t>Tuyên truyền trên Báo Gia đình và Xã hội: 20 triệu đồng/năm</t>
  </si>
  <si>
    <t>Tuyên truyền trên Báo Lào Cai: 10 triệu đồng/năm</t>
  </si>
  <si>
    <t>Các hoạt động truyền thông về nâng cao chất lượng dân số</t>
  </si>
  <si>
    <t xml:space="preserve">In ấn các sản phẩm truyền thông về nâng cao chất lượng dân số </t>
  </si>
  <si>
    <t>II</t>
  </si>
  <si>
    <t>Đảm bảo hậu cần và cung cấp dịch vụ kế hoạch hóa gia đình</t>
  </si>
  <si>
    <t>Cung cấp dịch vụ KHHGĐ</t>
  </si>
  <si>
    <t xml:space="preserve"> -</t>
  </si>
  <si>
    <t xml:space="preserve">Dụng cụ tử cung: 4.800 ca  </t>
  </si>
  <si>
    <t>Đình sản: 110 ca</t>
  </si>
  <si>
    <t xml:space="preserve">Cấy thuốc tránh thai:  Mỗi năm 350 ca </t>
  </si>
  <si>
    <t xml:space="preserve">Tiêm thuốc tránh thai: Dự kiến mỗi năm có 50% trong số đối tượng sử dụng thuốc tiêm là người mới sử dụng cần phải được khám phụ khoa </t>
  </si>
  <si>
    <t>Trợ cấp tai biến do sử dụng các BPTT lâm sàng thất bại (trung bình mỗi năm 0,1% =10 ca)</t>
  </si>
  <si>
    <t>III</t>
  </si>
  <si>
    <t>Đẩy mạnh thực hiện các dịch vụ nâng cao chất lượng giống nòi</t>
  </si>
  <si>
    <t>Tầm soát các dị dạng, bệnh tật bẩm sinh</t>
  </si>
  <si>
    <t>Sàng lọc trước sinh: 1.320 ca</t>
  </si>
  <si>
    <t>Sàng lọc sơ sinh:  2.750 ca</t>
  </si>
  <si>
    <t>Người cao tuổi được quản lý và khám sức khỏe tại cộng đồng</t>
  </si>
  <si>
    <t>In hồ sơ quản lý và chăm sóc sức khỏe NCT: 10.000đ/quyển. Năm 2021: 5.011</t>
  </si>
  <si>
    <t>Xuất bản cẩm nang hướng dẫn người cao tuổi tự chăm sóc sức khỏe tại gia đình;  Truyền thông cung cấp kiến thức phòng một số bệnh thường gặp cho người cao tuổi tổ chức tại 06 xã của 06 huyện</t>
  </si>
  <si>
    <t>c</t>
  </si>
  <si>
    <t xml:space="preserve"> Năm 2020: duy trì 10 xã. Các xã duy trì: 3,5trđ/xã/năm; từ năm 2021 - 2025 mỗi năm mở rộng mô hình CLB liên thế hệ tại 5 xã: 17 triệu đồng/xã mở rộng.</t>
  </si>
  <si>
    <t>d</t>
  </si>
  <si>
    <t>Tổ chức khám, quản lý hồ sơ CS sức khỏe tại trạm y tế cho NCT (Tổng số NCT được khám x 27.500đ/người): Số người cao tuổi được KSK định kỳ năm 2021: 31.705. Kinh phí Dự kiến 50% là người nghèo, cận nghèo, dân tộc thiểu số sống tại vùng đặc biệt khó khăn</t>
  </si>
  <si>
    <t>e</t>
  </si>
  <si>
    <t>Tổ chức chiến dịch truyền thông lồng ghép cung cấp dịch vụ khám sức khỏe, sàng lọc một số bệnh thường gặp ở người cao tuổi</t>
  </si>
  <si>
    <t xml:space="preserve">Tư vấn  và khám sức khỏe trước kết hôn </t>
  </si>
  <si>
    <t>Năm 2020: mở rộng CLB 10 xã. Các xã duy trì sinh hoạt CLB: 3,5trđ/xã/năm; từ năm 2021 - 2025 mỗi năm mở rộng mô hình tư vấn và khám sức khỏe trước kết hôn tại 5 xã/năm: 17 triệu/xã mở rộng.</t>
  </si>
  <si>
    <t>Tài liệu truyền thông về tư vấn khám sức khoẻ tiền hôn nhân: in áp phích treo tại nhà văn hóa thôn, bệnh viện, trường học, trạm Y tế, Ủy ban xã, điểm đông người qua lại; Tờ rơi phát cho trường học, đoàn thanh niên, hộ gia đình có con trong độ tuổi VTN, TN.</t>
  </si>
  <si>
    <t xml:space="preserve">Tổ chức truyền thông tư vấn về khám sức khỏe trước kết hôn tại các trạm y tế xã: 9 huyện, TP x 04 trạm Y tế x 2.500.000 đồng </t>
  </si>
  <si>
    <t>In hồ sơ quản lý khám sức khỏe cho vị thành niên, thanh niên trước kết hôn: 5.000đ/quyển. Năm 2021: 6.635</t>
  </si>
  <si>
    <t>Tư vấn, Khám sức khỏe cho vị thành niên, thanh niên trước kết hôn: 6.635 người</t>
  </si>
  <si>
    <t>f</t>
  </si>
  <si>
    <t xml:space="preserve">Sàng lọc thalassemia </t>
  </si>
  <si>
    <t>Hoạt động nâng cao chất lượng dân sô các dân tộc ít người tại cộng đồng (duy trì các hoạt động truyền thông năm 2020 là 17 xã; từ 2021-2025 mỗi năm mở rộng 01 xã)</t>
  </si>
  <si>
    <t>Tập huấn  triển khai các hoạt động nâng cao chất lượng dân số các dân tộc ít người tại cộng đồng 06 lớp tại 06 huyện, thị xã cho CTV tình nguyện, người có uy tín trong cộng đồng, tuyên truyền viên các tổ chức đoàn thể tại địa bàn triển khai hoạt động:  Kinh phí = 14.400.000đ/lớp . năm 2021 mở rộng 01 xã</t>
  </si>
  <si>
    <t>(giảng viên: 800.000đ x 02 buổi/ngày = 1.600.000; Tiền lưu trú giảng viên: 02 ngày x 200.000 x 02 người = 800.000đ; Tiền ngủ cho GV: 01 tối x 250.000 x 02 người = 500.000đ; Hội trường: 2 triệu đồng/lớp; Market = 500.000đ; VPP, tài liệu 50 người x 20.000đ/người = 1.000.000đ; nước uống 50 người x 10.000đ/người = 500.000đ; hỗ trợ tiền ăn cho đối tượng không hưởng lương 50 người x 100.000đ/người = 5.000.000đ; hỗ trợ tiền đi lại 50 người x 50.000đ/người = 2.500.000đ).</t>
  </si>
  <si>
    <t>In tờ rơi về nâg cao chất lượng dân số tại các xã có dân tộc ít người để phát cho các cấp lãnh đạo chính quyền địa phương, cán bộ làm công tác Y tế - dân số, người có uy tín trong cộng đồng, người dân  (10.000 tờ x  1.600/tờ = 16.000.000đ); In áp phích treo tại nhà văn hóa thôn, bệnh viện, trường học, trạm Y tế, Ủy ban xã, điểm đông người qua lại, Trung tâm Y tế: 200 tờ x 38.000đồng/tờ = 7.600.000đồng</t>
  </si>
  <si>
    <t xml:space="preserve"> Mua loa di động hỗ trợ truyền thông về công tác dân số - KHHGĐ cấp  phát cho nhà văn hóa  các thôn có dân tộc ít người theo Quyết định số 2086/QĐ-TTg ngày 31/10/2016: Tổng 22 xã gồm 65 thôn bản, năm 2020 đã mua 20 loa cấp cho 20 thôn, còn lại 45 thôn bản, từ năm 2021- 2025 mỗi năm mua 09 chiếc x 3 triệu đồng/chiếc cấp cho các thôn còn lại)</t>
  </si>
  <si>
    <t xml:space="preserve">Tổ chức tuyên truyền tại 22 xã:  Kinh phí: 2.100.000đ/điểm x 22 xã x 03 đợt = 107.100.000đ Trong đó: băng zôn 2 chiếc x 500.000đ = 1.000.000đ , hỗ trợ cán bộ thực hiện tư vấn 100.000đ/điểm ; nước uống 100 người x 10.000đ= 1.000.000đ; </t>
  </si>
  <si>
    <t>Tuyên truyền trên hệ thống phát thanh trên sóng Đài TT-TH huyện về nâng cao chất lượng dân số tại địa bàn triển khai dân tộc ít người: 3 triệu x 6 huyện = 18 triệu đồng.</t>
  </si>
  <si>
    <t>Các mô hình</t>
  </si>
  <si>
    <t xml:space="preserve">Mô hình giảm tình trạng tảo hôn và hôn nhân cận huyết thống </t>
  </si>
  <si>
    <t>Hợp đồng với Đài PT-TH tỉnh xây dựng phóng sự tuyên truyền về phòng chống tảo hôn, kết hôn cận huyết thống trên địa bàn tỉnh Lào Cai: 28 phút x 723.400đ/phút = 20,2 triệu đồng</t>
  </si>
  <si>
    <t>Bộ tranh vải tuyên truyền về phòng chống tảo hôn, kết hôn cận huyết thống treo tại trạm y tế xã triển khai mô hình (1 bộ gồm 5 chiếc x 200nđ/chiếc = 1 triệu/bộ/xã/năm; duy trì 22 xã; mỗi năm mở rộng 5 xã).</t>
  </si>
  <si>
    <t xml:space="preserve"> </t>
  </si>
  <si>
    <t>Năm 2020: duy trì sinh hoạt CLB 22 xã. Các xã duy trì sinh hoạt CLB: 3,5trđ/xã/năm; từ năm 2021 - 2025 mỗi năm mở rộng mô hình tại 5 xã : 17 triệu/xã mở rộng.</t>
  </si>
  <si>
    <t xml:space="preserve">Các hoạt động truyền thông vê phòng chống tảo hôn, kết hôn cận huyết thống </t>
  </si>
  <si>
    <t xml:space="preserve">Triển khai giảm thiểu mất cân bằng giới tính khi sinh, định mức trung bình các xã duy trì 3.000.000đồng/xã/năm x 104 xã, phường </t>
  </si>
  <si>
    <t xml:space="preserve">Triển khai giảm thiểu mất cân bằng giới tính khi sinh, định mức trung bình các xã duy trì 3.000.000đồng/xã/năm x 60 xã, phường </t>
  </si>
  <si>
    <t>Triển khai giảm thiểu mất cân bằng giới tính khi sinh, định mức trung bình các xã duy trì 3.000.000đồng/xã/năm x 44 xã, phường (các xã không được kinh phí địa phương hỗ trợ)</t>
  </si>
  <si>
    <t>IV</t>
  </si>
  <si>
    <t>Nâng cao năng lực tổ chức và thực hiện Chương trình</t>
  </si>
  <si>
    <t xml:space="preserve">Bồi dưỡng chuyên môn, tập huấn nghiệp vụ cho mỗi huyện, tp 01 lớp. Mỗi lớp 31,8 triệu x 9 lớp tại 9 huyện, thị xã, TP .Trung bình mỗi lớp 50 học viên là các cộng tác viên dân số thôn bản, xã, phường, thị trấn tại 9 huyện, TP. Mỗi lớp 03 ngày. </t>
  </si>
  <si>
    <t>Nội dung chi: Tài liệu, VPP: 50 x 20.000đ = 1.000.000; Thuê hội trường 03 ngày x 1.000.000đ/ngày =3.000.000; Market: 500.000đ; Hỗ trợ tiền ăn 50 người x 100.000/ngày x 03 ngày = 15.000.000, hỗ trợ đi lại 50 x 60.000 = 3.000.000; Tiền ngủ cho HV: trung bình 3 triệu đồng/lớp. chè nước 50 x 10.000đ x 3 ngày = 1.500.000; Thù lao GV 800.000đ/buổi x 02 buổi/ngày x 03 ngày = 4.800.000</t>
  </si>
  <si>
    <t xml:space="preserve">Bồi dưỡng chuyên môn, tập huấn nghiệp vụ cho mỗi huyện, tp 01 lớp. Mỗi lớp 10,1 triệu x 9 lớp tại 9 huyện, thị xã, TP .Trung bình mỗi lớp 50 học viên là viên chức dân số xã, phường, thị trấn và trưởng ban chỉ đạo , trưởng trạm y tế tại 9 huyện, TP. Mỗi lớp 02 ngày. </t>
  </si>
  <si>
    <t>Nội dung chi: Tài liệu, VPP: 50 x 20.000đ = 1.000.000; Thuê hội trường 02 ngày x 1.000.000đ/ngày = 2.000.000; Market: 500.000đ; chè nước 50 x 10.000đ x 2 ngày = 1.000.000; Thù lao GV 800.000đ/buổi x 02 buổi/ngày x 02 ngày = 3.200.000; Chi phụ cấp tiền ăn cho GV: 03 ngày x 02 người x 200.000đ = 1.200.000đ; tiền ngủ cho GV: 02 tối x 300.000 x 02 người = 1.200.000</t>
  </si>
  <si>
    <t>Tổ chức lớp tập huấn bồi dưỡng chuyên môn, nghiệp vụ tại tuyến tỉnh</t>
  </si>
  <si>
    <t>Hội nghị triển khai, tổng kết hoạt động công tác Dân số trong tình hình mới giai đoạn 2021-2025: 20 triệu đồng/01 hội nghị x 02 hội nghị</t>
  </si>
  <si>
    <t>Công tác phí giám sát toàn diện công tác dân số hàng năm: cấp tỉnh 80 triệu/năm, cấp huyện: 10 triệu/huyện/năm</t>
  </si>
  <si>
    <t>Hỗ trợ phụ cấp cho cộng tác viên tổ dân phố. Tổng số 344 cộng tác viên tổ dân phố  định mức 150.000đ/người/tháng. Cộng tác viên ở các thôn, bản chưa có nhân viên y tế thôn bản: 44 người x 200.000đ/người/tháng</t>
  </si>
  <si>
    <t>Chi cập nhật thông tin về dân số, kế hoạch hóa gia đình của hộ gia đình từ Sổ ghi chép ban đầu về dân số của CTV</t>
  </si>
  <si>
    <t>Phụ lục IV</t>
  </si>
  <si>
    <t>Tổng cộng giai đoạn</t>
  </si>
  <si>
    <t xml:space="preserve">Tổng </t>
  </si>
  <si>
    <t xml:space="preserve">Tổng cộng </t>
  </si>
  <si>
    <t>(Kèm theo Báo cáo số    /BC-UBND ngày    tháng    năm 2025 của UBND tỉnh Lào Cai)</t>
  </si>
  <si>
    <t>TỔNG HỢP NGUỒN VỐN THỰC HIỆN GIAI ĐOẠN 2021-2025</t>
  </si>
  <si>
    <t>Thực hiện đến hết năm 2024</t>
  </si>
  <si>
    <t>Dự kiến thực hiện năm 2025</t>
  </si>
  <si>
    <t>Mua máy chủ hục vụ kho dữ liệu điện tử toàn tỉnh; Mua loa di động phục vụ công tác tuyên truyền về nâng cao chất lượng dân số; Chi phí khác</t>
  </si>
  <si>
    <t>Hỗ trọ mua phương tiện tránh thai</t>
  </si>
  <si>
    <t>Vón NSĐP hỗ trợ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</si>
</sst>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_-;\-* #,##0.00\ _₫_-;_-* &quot;-&quot;??\ _₫_-;_-@_-"/>
    <numFmt numFmtId="165" formatCode="_-* #,##0.0\ _₫_-;\-* #,##0.0\ _₫_-;_-* &quot;-&quot;??\ _₫_-;_-@_-"/>
    <numFmt numFmtId="166" formatCode="_(* #,##0_);_(* \(#,##0\);_(* &quot;-&quot;??_);_(@_)"/>
    <numFmt numFmtId="167" formatCode="_-* #,##0\ _₫_-;\-* #,##0\ _₫_-;_-* &quot;-&quot;??\ _₫_-;_-@_-"/>
    <numFmt numFmtId="168" formatCode="0.0"/>
  </numFmts>
  <fonts count="21">
    <font>
      <sz val="11"/>
      <color theme="1"/>
      <name val="Calibri"/>
      <family val="2"/>
      <scheme val="minor"/>
    </font>
    <font>
      <sz val="11"/>
      <color theme="1"/>
      <name val="Calibri"/>
      <family val="2"/>
      <scheme val="minor"/>
    </font>
    <font>
      <sz val="11"/>
      <name val="Times New Roman"/>
      <family val="1"/>
    </font>
    <font>
      <b/>
      <sz val="8"/>
      <color theme="1"/>
      <name val="Times New Roman"/>
      <family val="1"/>
    </font>
    <font>
      <b/>
      <sz val="11"/>
      <name val="Times New Roman"/>
      <family val="1"/>
    </font>
    <font>
      <b/>
      <sz val="9"/>
      <name val="Times New Roman"/>
      <family val="1"/>
    </font>
    <font>
      <sz val="8"/>
      <color theme="1"/>
      <name val="Times New Roman"/>
      <family val="1"/>
    </font>
    <font>
      <sz val="10"/>
      <name val="Arial"/>
      <family val="2"/>
    </font>
    <font>
      <sz val="9"/>
      <name val="Times New Roman"/>
      <family val="1"/>
    </font>
    <font>
      <i/>
      <sz val="8"/>
      <color theme="1"/>
      <name val="Times New Roman"/>
      <family val="1"/>
    </font>
    <font>
      <i/>
      <sz val="9"/>
      <name val="Times New Roman"/>
      <family val="1"/>
    </font>
    <font>
      <sz val="12"/>
      <color indexed="8"/>
      <name val="Times New Roman"/>
      <family val="2"/>
    </font>
    <font>
      <sz val="12"/>
      <name val=".VnArial"/>
      <family val="2"/>
    </font>
    <font>
      <sz val="11"/>
      <color rgb="FFFF0000"/>
      <name val="Times New Roman"/>
      <family val="1"/>
    </font>
    <font>
      <b/>
      <sz val="14"/>
      <color theme="1"/>
      <name val="Times New Roman"/>
      <family val="1"/>
    </font>
    <font>
      <b/>
      <sz val="12"/>
      <color theme="1"/>
      <name val="Times New Roman"/>
      <family val="1"/>
    </font>
    <font>
      <i/>
      <sz val="12"/>
      <color theme="1"/>
      <name val="Times New Roman"/>
      <family val="1"/>
    </font>
    <font>
      <b/>
      <sz val="7"/>
      <color theme="1"/>
      <name val="Times New Roman"/>
      <family val="1"/>
    </font>
    <font>
      <b/>
      <sz val="7"/>
      <name val="Times New Roman"/>
      <family val="1"/>
    </font>
    <font>
      <sz val="7"/>
      <color theme="1"/>
      <name val="Times New Roman"/>
      <family val="1"/>
    </font>
    <font>
      <i/>
      <sz val="7"/>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7" fillId="0" borderId="0" applyFont="0" applyFill="0" applyBorder="0" applyAlignment="0" applyProtection="0"/>
    <xf numFmtId="0" fontId="11" fillId="0" borderId="0"/>
    <xf numFmtId="0" fontId="12" fillId="0" borderId="0"/>
    <xf numFmtId="0" fontId="7" fillId="0" borderId="0"/>
  </cellStyleXfs>
  <cellXfs count="97">
    <xf numFmtId="0" fontId="0" fillId="0" borderId="0" xfId="0"/>
    <xf numFmtId="0" fontId="2" fillId="0" borderId="0" xfId="0" applyFont="1" applyFill="1"/>
    <xf numFmtId="0" fontId="4" fillId="0" borderId="0" xfId="0" applyFont="1" applyFill="1"/>
    <xf numFmtId="0" fontId="3" fillId="0"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165" fontId="3" fillId="2" borderId="10" xfId="1" applyNumberFormat="1" applyFont="1" applyFill="1" applyBorder="1" applyAlignment="1">
      <alignment horizontal="center" vertical="center" wrapText="1"/>
    </xf>
    <xf numFmtId="0" fontId="4" fillId="0" borderId="0" xfId="0" applyFont="1" applyFill="1" applyAlignment="1">
      <alignment wrapText="1"/>
    </xf>
    <xf numFmtId="166" fontId="3" fillId="0" borderId="10" xfId="3" applyNumberFormat="1" applyFont="1" applyFill="1" applyBorder="1" applyAlignment="1">
      <alignment horizontal="center" vertical="center"/>
    </xf>
    <xf numFmtId="166" fontId="3" fillId="0" borderId="10" xfId="3" applyNumberFormat="1" applyFont="1" applyFill="1" applyBorder="1" applyAlignment="1">
      <alignment horizontal="left" vertical="center" wrapText="1"/>
    </xf>
    <xf numFmtId="0" fontId="5" fillId="0" borderId="0" xfId="0" applyFont="1" applyFill="1"/>
    <xf numFmtId="166" fontId="3" fillId="0" borderId="10" xfId="3" applyNumberFormat="1" applyFont="1" applyFill="1" applyBorder="1" applyAlignment="1">
      <alignment horizontal="center" vertical="center" wrapText="1"/>
    </xf>
    <xf numFmtId="0" fontId="3" fillId="0" borderId="10" xfId="4" applyFont="1" applyFill="1" applyBorder="1" applyAlignment="1">
      <alignment horizontal="left" vertical="center" wrapText="1"/>
    </xf>
    <xf numFmtId="0" fontId="6" fillId="0" borderId="10" xfId="4" applyFont="1" applyFill="1" applyBorder="1" applyAlignment="1">
      <alignment horizontal="center" vertical="center" wrapText="1"/>
    </xf>
    <xf numFmtId="0" fontId="6" fillId="0" borderId="10" xfId="4" applyFont="1" applyFill="1" applyBorder="1" applyAlignment="1">
      <alignment vertical="center" wrapText="1"/>
    </xf>
    <xf numFmtId="0" fontId="8" fillId="0" borderId="0" xfId="0" applyFont="1" applyFill="1"/>
    <xf numFmtId="0" fontId="9" fillId="0" borderId="10" xfId="4" applyFont="1" applyFill="1" applyBorder="1" applyAlignment="1">
      <alignment horizontal="center" vertical="center" wrapText="1"/>
    </xf>
    <xf numFmtId="0" fontId="9" fillId="0" borderId="10" xfId="4" applyFont="1" applyFill="1" applyBorder="1" applyAlignment="1">
      <alignment vertical="center" wrapText="1"/>
    </xf>
    <xf numFmtId="0" fontId="10" fillId="0" borderId="0" xfId="0" applyFont="1" applyFill="1"/>
    <xf numFmtId="0" fontId="6" fillId="0" borderId="10" xfId="4" quotePrefix="1" applyFont="1" applyFill="1" applyBorder="1" applyAlignment="1">
      <alignment horizontal="center" vertical="center" wrapText="1"/>
    </xf>
    <xf numFmtId="0" fontId="3" fillId="0" borderId="10" xfId="4" applyFont="1" applyFill="1" applyBorder="1" applyAlignment="1">
      <alignment horizontal="center" vertical="center" wrapText="1"/>
    </xf>
    <xf numFmtId="0" fontId="6" fillId="0" borderId="10" xfId="6" applyFont="1" applyFill="1" applyBorder="1" applyAlignment="1">
      <alignment horizontal="left" vertical="center" wrapText="1"/>
    </xf>
    <xf numFmtId="0" fontId="6" fillId="0" borderId="10" xfId="4" applyFont="1" applyFill="1" applyBorder="1" applyAlignment="1">
      <alignment horizontal="left" vertical="center" wrapText="1"/>
    </xf>
    <xf numFmtId="0" fontId="6" fillId="0" borderId="10" xfId="4" quotePrefix="1" applyFont="1" applyFill="1" applyBorder="1" applyAlignment="1">
      <alignment vertical="center" wrapText="1"/>
    </xf>
    <xf numFmtId="0" fontId="6" fillId="0" borderId="10" xfId="7" applyNumberFormat="1" applyFont="1" applyFill="1" applyBorder="1" applyAlignment="1">
      <alignment vertical="center" wrapText="1"/>
    </xf>
    <xf numFmtId="0" fontId="6" fillId="0" borderId="10" xfId="7" applyFont="1" applyFill="1" applyBorder="1" applyAlignment="1">
      <alignment horizontal="left" vertical="center" wrapText="1"/>
    </xf>
    <xf numFmtId="0" fontId="6" fillId="0" borderId="10" xfId="7" applyFont="1" applyFill="1" applyBorder="1" applyAlignment="1">
      <alignment vertical="center" wrapText="1"/>
    </xf>
    <xf numFmtId="0" fontId="6" fillId="0" borderId="10" xfId="4" applyNumberFormat="1" applyFont="1" applyFill="1" applyBorder="1" applyAlignment="1">
      <alignment vertical="center" wrapText="1"/>
    </xf>
    <xf numFmtId="3" fontId="6" fillId="0" borderId="10" xfId="3" applyNumberFormat="1" applyFont="1" applyFill="1" applyBorder="1" applyAlignment="1">
      <alignment horizontal="left" vertical="center" wrapText="1"/>
    </xf>
    <xf numFmtId="0" fontId="6" fillId="0" borderId="10" xfId="8" applyFont="1" applyFill="1" applyBorder="1" applyAlignment="1">
      <alignment vertical="center" wrapText="1"/>
    </xf>
    <xf numFmtId="0" fontId="3" fillId="0" borderId="10" xfId="4" applyFont="1" applyFill="1" applyBorder="1" applyAlignment="1">
      <alignment vertical="center" wrapText="1"/>
    </xf>
    <xf numFmtId="9" fontId="2" fillId="2" borderId="0" xfId="2" applyFont="1" applyFill="1"/>
    <xf numFmtId="0" fontId="2" fillId="2" borderId="0" xfId="0" applyFont="1" applyFill="1"/>
    <xf numFmtId="0" fontId="13" fillId="2" borderId="0" xfId="0" applyFont="1" applyFill="1"/>
    <xf numFmtId="165" fontId="2" fillId="2" borderId="0" xfId="1" applyNumberFormat="1" applyFont="1" applyFill="1"/>
    <xf numFmtId="0" fontId="14" fillId="0" borderId="0" xfId="0" applyFont="1" applyFill="1" applyBorder="1" applyAlignment="1">
      <alignment horizontal="center"/>
    </xf>
    <xf numFmtId="0" fontId="15" fillId="0" borderId="0" xfId="0" applyFont="1" applyFill="1" applyBorder="1" applyAlignment="1">
      <alignment horizontal="center"/>
    </xf>
    <xf numFmtId="0" fontId="16" fillId="0" borderId="0" xfId="0" applyFont="1" applyFill="1" applyBorder="1" applyAlignment="1">
      <alignment horizontal="center"/>
    </xf>
    <xf numFmtId="0" fontId="3" fillId="0" borderId="1" xfId="0" applyFont="1" applyFill="1" applyBorder="1" applyAlignment="1"/>
    <xf numFmtId="0" fontId="9" fillId="0" borderId="0" xfId="0" applyFont="1" applyFill="1" applyBorder="1" applyAlignment="1">
      <alignment horizontal="right"/>
    </xf>
    <xf numFmtId="0" fontId="3" fillId="2" borderId="0" xfId="0" applyFont="1" applyFill="1" applyBorder="1" applyAlignment="1">
      <alignment horizontal="center" vertical="center" wrapText="1"/>
    </xf>
    <xf numFmtId="165" fontId="3" fillId="2" borderId="0" xfId="1" applyNumberFormat="1" applyFont="1" applyFill="1" applyBorder="1" applyAlignment="1">
      <alignment horizontal="center" vertical="center" wrapText="1"/>
    </xf>
    <xf numFmtId="165" fontId="3" fillId="2" borderId="0" xfId="1" applyNumberFormat="1" applyFont="1" applyFill="1" applyBorder="1" applyAlignment="1"/>
    <xf numFmtId="165" fontId="6" fillId="2" borderId="0" xfId="1" applyNumberFormat="1" applyFont="1" applyFill="1" applyBorder="1" applyAlignment="1"/>
    <xf numFmtId="165" fontId="9" fillId="2" borderId="0" xfId="1" applyNumberFormat="1" applyFont="1" applyFill="1" applyBorder="1" applyAlignment="1"/>
    <xf numFmtId="165" fontId="17" fillId="0" borderId="10" xfId="1" applyNumberFormat="1" applyFont="1" applyFill="1" applyBorder="1"/>
    <xf numFmtId="2" fontId="17" fillId="0" borderId="10" xfId="0" applyNumberFormat="1" applyFont="1" applyFill="1" applyBorder="1"/>
    <xf numFmtId="167" fontId="17" fillId="0" borderId="10" xfId="1" applyNumberFormat="1" applyFont="1" applyFill="1" applyBorder="1"/>
    <xf numFmtId="165" fontId="17" fillId="2" borderId="10" xfId="1" applyNumberFormat="1" applyFont="1" applyFill="1" applyBorder="1"/>
    <xf numFmtId="165" fontId="17" fillId="2" borderId="10" xfId="1" applyNumberFormat="1" applyFont="1" applyFill="1" applyBorder="1" applyAlignment="1">
      <alignment horizontal="right"/>
    </xf>
    <xf numFmtId="165" fontId="17" fillId="2" borderId="0" xfId="1" applyNumberFormat="1" applyFont="1" applyFill="1" applyBorder="1"/>
    <xf numFmtId="0" fontId="18" fillId="0" borderId="0" xfId="0" applyFont="1" applyFill="1"/>
    <xf numFmtId="0" fontId="17" fillId="0" borderId="10" xfId="0" applyFont="1" applyFill="1" applyBorder="1"/>
    <xf numFmtId="168" fontId="17" fillId="0" borderId="10" xfId="0" applyNumberFormat="1" applyFont="1" applyFill="1" applyBorder="1"/>
    <xf numFmtId="165" fontId="17" fillId="0" borderId="10" xfId="0" applyNumberFormat="1" applyFont="1" applyFill="1" applyBorder="1"/>
    <xf numFmtId="165" fontId="17" fillId="2" borderId="10" xfId="3" applyNumberFormat="1" applyFont="1" applyFill="1" applyBorder="1" applyAlignment="1">
      <alignment horizontal="center"/>
    </xf>
    <xf numFmtId="165" fontId="17" fillId="2" borderId="10" xfId="1" applyNumberFormat="1" applyFont="1" applyFill="1" applyBorder="1" applyAlignment="1"/>
    <xf numFmtId="168" fontId="17" fillId="2" borderId="10" xfId="1" applyNumberFormat="1" applyFont="1" applyFill="1" applyBorder="1" applyAlignment="1">
      <alignment horizontal="right"/>
    </xf>
    <xf numFmtId="165" fontId="19" fillId="0" borderId="10" xfId="1" applyNumberFormat="1" applyFont="1" applyFill="1" applyBorder="1"/>
    <xf numFmtId="0" fontId="19" fillId="0" borderId="10" xfId="0" applyFont="1" applyFill="1" applyBorder="1"/>
    <xf numFmtId="168" fontId="19" fillId="0" borderId="10" xfId="0" applyNumberFormat="1" applyFont="1" applyFill="1" applyBorder="1"/>
    <xf numFmtId="165" fontId="19" fillId="0" borderId="10" xfId="0" applyNumberFormat="1" applyFont="1" applyFill="1" applyBorder="1"/>
    <xf numFmtId="165" fontId="19" fillId="2" borderId="10" xfId="5" applyNumberFormat="1" applyFont="1" applyFill="1" applyBorder="1" applyAlignment="1">
      <alignment horizontal="center"/>
    </xf>
    <xf numFmtId="165" fontId="19" fillId="2" borderId="10" xfId="1" applyNumberFormat="1" applyFont="1" applyFill="1" applyBorder="1" applyAlignment="1">
      <alignment horizontal="center"/>
    </xf>
    <xf numFmtId="165" fontId="19" fillId="2" borderId="10" xfId="1" applyNumberFormat="1" applyFont="1" applyFill="1" applyBorder="1" applyAlignment="1">
      <alignment horizontal="right"/>
    </xf>
    <xf numFmtId="165" fontId="19" fillId="2" borderId="10" xfId="1" applyNumberFormat="1" applyFont="1" applyFill="1" applyBorder="1" applyAlignment="1"/>
    <xf numFmtId="168" fontId="19" fillId="2" borderId="10" xfId="1" applyNumberFormat="1" applyFont="1" applyFill="1" applyBorder="1" applyAlignment="1">
      <alignment horizontal="right"/>
    </xf>
    <xf numFmtId="0" fontId="20" fillId="0" borderId="10" xfId="0" applyFont="1" applyFill="1" applyBorder="1"/>
    <xf numFmtId="168" fontId="20" fillId="0" borderId="10" xfId="0" applyNumberFormat="1" applyFont="1" applyFill="1" applyBorder="1"/>
    <xf numFmtId="165" fontId="20" fillId="0" borderId="10" xfId="0" applyNumberFormat="1" applyFont="1" applyFill="1" applyBorder="1"/>
    <xf numFmtId="165" fontId="20" fillId="2" borderId="10" xfId="1" applyNumberFormat="1" applyFont="1" applyFill="1" applyBorder="1" applyAlignment="1"/>
    <xf numFmtId="168" fontId="20" fillId="2" borderId="10" xfId="1" applyNumberFormat="1" applyFont="1" applyFill="1" applyBorder="1" applyAlignment="1">
      <alignment horizontal="right"/>
    </xf>
    <xf numFmtId="165" fontId="19" fillId="2" borderId="10" xfId="3" applyNumberFormat="1" applyFont="1" applyFill="1" applyBorder="1" applyAlignment="1">
      <alignment horizontal="center"/>
    </xf>
    <xf numFmtId="164" fontId="19" fillId="2" borderId="10" xfId="1" applyNumberFormat="1" applyFont="1" applyFill="1" applyBorder="1" applyAlignment="1"/>
    <xf numFmtId="2" fontId="19" fillId="0" borderId="10" xfId="0" applyNumberFormat="1" applyFont="1" applyFill="1" applyBorder="1"/>
    <xf numFmtId="165" fontId="20" fillId="2" borderId="10" xfId="5" applyNumberFormat="1" applyFont="1" applyFill="1" applyBorder="1" applyAlignment="1">
      <alignment horizontal="center"/>
    </xf>
    <xf numFmtId="165" fontId="20" fillId="2" borderId="10" xfId="3" applyNumberFormat="1" applyFont="1" applyFill="1" applyBorder="1" applyAlignment="1">
      <alignment horizontal="center"/>
    </xf>
    <xf numFmtId="165" fontId="20" fillId="2" borderId="10" xfId="5" applyNumberFormat="1" applyFont="1" applyFill="1" applyBorder="1" applyAlignment="1">
      <alignment horizontal="center" vertical="center" wrapText="1"/>
    </xf>
    <xf numFmtId="165" fontId="19" fillId="2" borderId="10" xfId="5" applyNumberFormat="1" applyFont="1" applyFill="1" applyBorder="1" applyAlignment="1">
      <alignment horizontal="center" vertical="center" wrapText="1"/>
    </xf>
    <xf numFmtId="0" fontId="14" fillId="0" borderId="0" xfId="0" applyFont="1" applyFill="1" applyBorder="1" applyAlignment="1">
      <alignment horizontal="center"/>
    </xf>
    <xf numFmtId="0" fontId="9" fillId="0" borderId="1" xfId="0" applyFont="1" applyFill="1" applyBorder="1" applyAlignment="1">
      <alignment horizontal="right"/>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0" xfId="0" applyFont="1" applyFill="1" applyBorder="1" applyAlignment="1">
      <alignment horizontal="center"/>
    </xf>
    <xf numFmtId="0" fontId="15" fillId="0" borderId="0" xfId="0" applyFont="1" applyFill="1" applyBorder="1" applyAlignment="1">
      <alignment horizont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9">
    <cellStyle name="Comma" xfId="1" builtinId="3"/>
    <cellStyle name="Comma 2 3" xfId="5" xr:uid="{00000000-0005-0000-0000-000001000000}"/>
    <cellStyle name="Comma 6" xfId="3" xr:uid="{00000000-0005-0000-0000-000002000000}"/>
    <cellStyle name="Normal" xfId="0" builtinId="0"/>
    <cellStyle name="Normal 7" xfId="4" xr:uid="{00000000-0005-0000-0000-000004000000}"/>
    <cellStyle name="Normal_Bieu de nghi ho tro KP ( Loan gui Bs Hung)(1)" xfId="7" xr:uid="{00000000-0005-0000-0000-000005000000}"/>
    <cellStyle name="Normal_KINH PHÍ THỰC HIỆN BPTT" xfId="6" xr:uid="{00000000-0005-0000-0000-000006000000}"/>
    <cellStyle name="Normal_KP_tao hon " xfId="8" xr:uid="{00000000-0005-0000-0000-000007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7"/>
  <sheetViews>
    <sheetView tabSelected="1" view="pageBreakPreview" zoomScaleSheetLayoutView="100" workbookViewId="0">
      <selection activeCell="C7" sqref="C7"/>
    </sheetView>
  </sheetViews>
  <sheetFormatPr defaultColWidth="8.28515625" defaultRowHeight="15"/>
  <cols>
    <col min="1" max="1" width="2.85546875" style="1" customWidth="1"/>
    <col min="2" max="2" width="32.28515625" style="1" customWidth="1"/>
    <col min="3" max="3" width="6.85546875" style="1" customWidth="1"/>
    <col min="4" max="4" width="4.85546875" style="1" customWidth="1"/>
    <col min="5" max="5" width="6.42578125" style="1" customWidth="1"/>
    <col min="6" max="6" width="6.7109375" style="1" customWidth="1"/>
    <col min="7" max="7" width="9.85546875" style="31" customWidth="1"/>
    <col min="8" max="8" width="7" style="31" customWidth="1"/>
    <col min="9" max="9" width="7.140625" style="31" customWidth="1"/>
    <col min="10" max="10" width="7" style="31" customWidth="1"/>
    <col min="11" max="11" width="7.28515625" style="32" customWidth="1"/>
    <col min="12" max="12" width="7.140625" style="33" customWidth="1"/>
    <col min="13" max="13" width="6.7109375" style="33" customWidth="1"/>
    <col min="14" max="14" width="7.85546875" style="33" customWidth="1"/>
    <col min="15" max="15" width="6.28515625" style="33" customWidth="1"/>
    <col min="16" max="16" width="7.5703125" style="33" customWidth="1"/>
    <col min="17" max="18" width="7" style="33" customWidth="1"/>
    <col min="19" max="19" width="6.5703125" style="33" customWidth="1"/>
    <col min="20" max="20" width="10" style="33" customWidth="1"/>
    <col min="21" max="21" width="7.42578125" style="33" customWidth="1"/>
    <col min="22" max="22" width="7.85546875" style="33" customWidth="1"/>
    <col min="23" max="23" width="6" style="31" customWidth="1"/>
    <col min="24" max="24" width="8.140625" style="31" customWidth="1"/>
    <col min="25" max="16384" width="8.28515625" style="1"/>
  </cols>
  <sheetData>
    <row r="1" spans="1:24" ht="21" customHeight="1">
      <c r="A1" s="78" t="s">
        <v>86</v>
      </c>
      <c r="B1" s="78"/>
      <c r="C1" s="78"/>
      <c r="D1" s="78"/>
      <c r="E1" s="78"/>
      <c r="F1" s="78"/>
      <c r="G1" s="78"/>
      <c r="H1" s="78"/>
      <c r="I1" s="78"/>
      <c r="J1" s="78"/>
      <c r="K1" s="78"/>
      <c r="L1" s="78"/>
      <c r="M1" s="78"/>
      <c r="N1" s="78"/>
      <c r="O1" s="78"/>
      <c r="P1" s="78"/>
      <c r="Q1" s="78"/>
      <c r="R1" s="78"/>
      <c r="S1" s="78"/>
      <c r="T1" s="78"/>
      <c r="U1" s="78"/>
      <c r="V1" s="78"/>
      <c r="W1" s="78"/>
      <c r="X1" s="34"/>
    </row>
    <row r="2" spans="1:24" ht="21" customHeight="1">
      <c r="A2" s="88" t="s">
        <v>91</v>
      </c>
      <c r="B2" s="88"/>
      <c r="C2" s="88"/>
      <c r="D2" s="88"/>
      <c r="E2" s="88"/>
      <c r="F2" s="88"/>
      <c r="G2" s="88"/>
      <c r="H2" s="88"/>
      <c r="I2" s="88"/>
      <c r="J2" s="88"/>
      <c r="K2" s="88"/>
      <c r="L2" s="88"/>
      <c r="M2" s="88"/>
      <c r="N2" s="88"/>
      <c r="O2" s="88"/>
      <c r="P2" s="88"/>
      <c r="Q2" s="88"/>
      <c r="R2" s="88"/>
      <c r="S2" s="88"/>
      <c r="T2" s="88"/>
      <c r="U2" s="88"/>
      <c r="V2" s="88"/>
      <c r="W2" s="88"/>
      <c r="X2" s="35"/>
    </row>
    <row r="3" spans="1:24" ht="21" customHeight="1">
      <c r="A3" s="87" t="s">
        <v>90</v>
      </c>
      <c r="B3" s="87"/>
      <c r="C3" s="87"/>
      <c r="D3" s="87"/>
      <c r="E3" s="87"/>
      <c r="F3" s="87"/>
      <c r="G3" s="87"/>
      <c r="H3" s="87"/>
      <c r="I3" s="87"/>
      <c r="J3" s="87"/>
      <c r="K3" s="87"/>
      <c r="L3" s="87"/>
      <c r="M3" s="87"/>
      <c r="N3" s="87"/>
      <c r="O3" s="87"/>
      <c r="P3" s="87"/>
      <c r="Q3" s="87"/>
      <c r="R3" s="87"/>
      <c r="S3" s="87"/>
      <c r="T3" s="87"/>
      <c r="U3" s="87"/>
      <c r="V3" s="87"/>
      <c r="W3" s="87"/>
      <c r="X3" s="36"/>
    </row>
    <row r="4" spans="1:24">
      <c r="A4" s="37"/>
      <c r="B4" s="37"/>
      <c r="C4" s="37"/>
      <c r="D4" s="37"/>
      <c r="E4" s="37"/>
      <c r="F4" s="79" t="s">
        <v>0</v>
      </c>
      <c r="G4" s="79"/>
      <c r="H4" s="79"/>
      <c r="I4" s="79"/>
      <c r="J4" s="79"/>
      <c r="K4" s="79"/>
      <c r="L4" s="79"/>
      <c r="M4" s="79"/>
      <c r="N4" s="79"/>
      <c r="O4" s="79"/>
      <c r="P4" s="79"/>
      <c r="Q4" s="79"/>
      <c r="R4" s="79"/>
      <c r="S4" s="79"/>
      <c r="T4" s="79"/>
      <c r="U4" s="79"/>
      <c r="V4" s="79"/>
      <c r="W4" s="79"/>
      <c r="X4" s="38"/>
    </row>
    <row r="5" spans="1:24" s="2" customFormat="1" ht="20.25" customHeight="1">
      <c r="A5" s="80" t="s">
        <v>1</v>
      </c>
      <c r="B5" s="80" t="s">
        <v>2</v>
      </c>
      <c r="C5" s="83" t="s">
        <v>3</v>
      </c>
      <c r="D5" s="84"/>
      <c r="E5" s="84"/>
      <c r="F5" s="83" t="s">
        <v>4</v>
      </c>
      <c r="G5" s="84"/>
      <c r="H5" s="84"/>
      <c r="I5" s="83" t="s">
        <v>5</v>
      </c>
      <c r="J5" s="84"/>
      <c r="K5" s="84"/>
      <c r="L5" s="83" t="s">
        <v>92</v>
      </c>
      <c r="M5" s="84"/>
      <c r="N5" s="84"/>
      <c r="O5" s="93"/>
      <c r="P5" s="95" t="s">
        <v>93</v>
      </c>
      <c r="Q5" s="89"/>
      <c r="R5" s="89"/>
      <c r="S5" s="89"/>
      <c r="T5" s="89" t="s">
        <v>87</v>
      </c>
      <c r="U5" s="89"/>
      <c r="V5" s="89"/>
      <c r="W5" s="90"/>
      <c r="X5" s="39"/>
    </row>
    <row r="6" spans="1:24" s="2" customFormat="1" ht="15.75" customHeight="1">
      <c r="A6" s="81"/>
      <c r="B6" s="81"/>
      <c r="C6" s="85"/>
      <c r="D6" s="86"/>
      <c r="E6" s="86"/>
      <c r="F6" s="85"/>
      <c r="G6" s="86"/>
      <c r="H6" s="86"/>
      <c r="I6" s="85"/>
      <c r="J6" s="86"/>
      <c r="K6" s="86"/>
      <c r="L6" s="85"/>
      <c r="M6" s="86"/>
      <c r="N6" s="86"/>
      <c r="O6" s="94"/>
      <c r="P6" s="96"/>
      <c r="Q6" s="91"/>
      <c r="R6" s="91"/>
      <c r="S6" s="91"/>
      <c r="T6" s="91"/>
      <c r="U6" s="91"/>
      <c r="V6" s="91"/>
      <c r="W6" s="92"/>
      <c r="X6" s="39"/>
    </row>
    <row r="7" spans="1:24" s="6" customFormat="1" ht="45" customHeight="1">
      <c r="A7" s="82"/>
      <c r="B7" s="82"/>
      <c r="C7" s="3" t="s">
        <v>88</v>
      </c>
      <c r="D7" s="3" t="s">
        <v>6</v>
      </c>
      <c r="E7" s="3" t="s">
        <v>7</v>
      </c>
      <c r="F7" s="3" t="s">
        <v>88</v>
      </c>
      <c r="G7" s="4" t="s">
        <v>6</v>
      </c>
      <c r="H7" s="4" t="s">
        <v>7</v>
      </c>
      <c r="I7" s="4" t="s">
        <v>88</v>
      </c>
      <c r="J7" s="4" t="s">
        <v>6</v>
      </c>
      <c r="K7" s="4" t="s">
        <v>7</v>
      </c>
      <c r="L7" s="5" t="s">
        <v>88</v>
      </c>
      <c r="M7" s="5" t="s">
        <v>6</v>
      </c>
      <c r="N7" s="5" t="s">
        <v>7</v>
      </c>
      <c r="O7" s="5" t="s">
        <v>96</v>
      </c>
      <c r="P7" s="5" t="s">
        <v>88</v>
      </c>
      <c r="Q7" s="5" t="s">
        <v>6</v>
      </c>
      <c r="R7" s="5" t="s">
        <v>7</v>
      </c>
      <c r="S7" s="5" t="s">
        <v>96</v>
      </c>
      <c r="T7" s="5" t="s">
        <v>89</v>
      </c>
      <c r="U7" s="5" t="s">
        <v>6</v>
      </c>
      <c r="V7" s="5" t="s">
        <v>7</v>
      </c>
      <c r="W7" s="5" t="s">
        <v>96</v>
      </c>
      <c r="X7" s="40"/>
    </row>
    <row r="8" spans="1:24" s="50" customFormat="1" ht="43.5" customHeight="1">
      <c r="A8" s="7" t="s">
        <v>8</v>
      </c>
      <c r="B8" s="8" t="s">
        <v>9</v>
      </c>
      <c r="C8" s="44">
        <f>D8+E8</f>
        <v>3127.12</v>
      </c>
      <c r="D8" s="45"/>
      <c r="E8" s="46">
        <f>+E9+E22+E30+E63</f>
        <v>3127.12</v>
      </c>
      <c r="F8" s="44">
        <f>+F9+F22+F30+F63</f>
        <v>4047.8020000000001</v>
      </c>
      <c r="G8" s="47">
        <f>G9+G22+G30+G63</f>
        <v>1838.6100000000001</v>
      </c>
      <c r="H8" s="47">
        <f>H9+H22+H30+H63</f>
        <v>2209.192</v>
      </c>
      <c r="I8" s="48">
        <f>J8+K8</f>
        <v>6016.2999999999993</v>
      </c>
      <c r="J8" s="47">
        <f>J9+J22+J30+J63</f>
        <v>4365.8999999999996</v>
      </c>
      <c r="K8" s="48">
        <f>K9+K22+K30+K63</f>
        <v>1650.3999999999999</v>
      </c>
      <c r="L8" s="47">
        <f>M8+N8+O8</f>
        <v>8496.1049999999996</v>
      </c>
      <c r="M8" s="47">
        <f>M9+M22+M30+M63</f>
        <v>6127.45</v>
      </c>
      <c r="N8" s="47">
        <f t="shared" ref="N8:S8" si="0">N9+N22+N30+N63</f>
        <v>1602.3999999999999</v>
      </c>
      <c r="O8" s="47">
        <f t="shared" si="0"/>
        <v>766.255</v>
      </c>
      <c r="P8" s="47">
        <f>Q8+R8+S8</f>
        <v>7054.1980000000003</v>
      </c>
      <c r="Q8" s="47">
        <f t="shared" si="0"/>
        <v>5103.97</v>
      </c>
      <c r="R8" s="47">
        <f t="shared" si="0"/>
        <v>1840.2280000000001</v>
      </c>
      <c r="S8" s="47">
        <f t="shared" si="0"/>
        <v>110</v>
      </c>
      <c r="T8" s="47">
        <f>U8+V8+W8</f>
        <v>28741.525000000001</v>
      </c>
      <c r="U8" s="47">
        <f t="shared" ref="U8:U28" si="1">D8+G8+J8+M8+Q8</f>
        <v>17435.93</v>
      </c>
      <c r="V8" s="47">
        <f t="shared" ref="V8:V28" si="2">E8+H8+K8+N8+R8</f>
        <v>10429.34</v>
      </c>
      <c r="W8" s="47">
        <f t="shared" ref="W8:W39" si="3">O8+S8</f>
        <v>876.255</v>
      </c>
      <c r="X8" s="49"/>
    </row>
    <row r="9" spans="1:24" s="9" customFormat="1" ht="29.25" customHeight="1">
      <c r="A9" s="10" t="s">
        <v>10</v>
      </c>
      <c r="B9" s="11" t="s">
        <v>11</v>
      </c>
      <c r="C9" s="44">
        <f t="shared" ref="C9:C73" si="4">D9+E9</f>
        <v>505.3</v>
      </c>
      <c r="D9" s="51"/>
      <c r="E9" s="52">
        <f>E10+E13</f>
        <v>505.3</v>
      </c>
      <c r="F9" s="53">
        <f t="shared" ref="F9:F71" si="5">G9+H9</f>
        <v>571.94600000000003</v>
      </c>
      <c r="G9" s="54">
        <f t="shared" ref="G9" si="6">G10+G13</f>
        <v>88.74</v>
      </c>
      <c r="H9" s="54">
        <f>H10+H13</f>
        <v>483.20600000000002</v>
      </c>
      <c r="I9" s="48">
        <f t="shared" ref="I9:I73" si="7">J9+K9</f>
        <v>584.70000000000005</v>
      </c>
      <c r="J9" s="55">
        <f>J10+J13</f>
        <v>274.10000000000002</v>
      </c>
      <c r="K9" s="56">
        <f>K10+K13</f>
        <v>310.59999999999997</v>
      </c>
      <c r="L9" s="55">
        <f t="shared" ref="L9:L72" si="8">M9+N9+O9</f>
        <v>654.51199999999994</v>
      </c>
      <c r="M9" s="55">
        <f>M10+M13</f>
        <v>250.36200000000002</v>
      </c>
      <c r="N9" s="55">
        <f t="shared" ref="N9:S9" si="9">N10+N13</f>
        <v>330.15</v>
      </c>
      <c r="O9" s="55">
        <f t="shared" si="9"/>
        <v>74</v>
      </c>
      <c r="P9" s="55">
        <f t="shared" ref="P9:P72" si="10">Q9+R9+S9</f>
        <v>622</v>
      </c>
      <c r="Q9" s="55">
        <f t="shared" si="9"/>
        <v>239</v>
      </c>
      <c r="R9" s="55">
        <f t="shared" si="9"/>
        <v>331</v>
      </c>
      <c r="S9" s="55">
        <f t="shared" si="9"/>
        <v>52</v>
      </c>
      <c r="T9" s="55">
        <f t="shared" ref="T9:T72" si="11">U9+V9+W9</f>
        <v>2938.4579999999996</v>
      </c>
      <c r="U9" s="55">
        <f t="shared" si="1"/>
        <v>852.202</v>
      </c>
      <c r="V9" s="55">
        <f t="shared" si="2"/>
        <v>1960.2559999999999</v>
      </c>
      <c r="W9" s="47">
        <f t="shared" si="3"/>
        <v>126</v>
      </c>
      <c r="X9" s="41"/>
    </row>
    <row r="10" spans="1:24" s="14" customFormat="1" ht="28.5" customHeight="1">
      <c r="A10" s="12">
        <v>1</v>
      </c>
      <c r="B10" s="13" t="s">
        <v>12</v>
      </c>
      <c r="C10" s="57">
        <f t="shared" si="4"/>
        <v>415.40000000000003</v>
      </c>
      <c r="D10" s="58"/>
      <c r="E10" s="59">
        <f>E11+E12</f>
        <v>415.40000000000003</v>
      </c>
      <c r="F10" s="60">
        <f t="shared" si="5"/>
        <v>335.81600000000003</v>
      </c>
      <c r="G10" s="61">
        <f t="shared" ref="G10" si="12">SUM(G11:G12)</f>
        <v>0</v>
      </c>
      <c r="H10" s="62">
        <f>H11+H12</f>
        <v>335.81600000000003</v>
      </c>
      <c r="I10" s="63">
        <f t="shared" si="7"/>
        <v>310.59999999999997</v>
      </c>
      <c r="J10" s="64"/>
      <c r="K10" s="65">
        <f>K11+K12</f>
        <v>310.59999999999997</v>
      </c>
      <c r="L10" s="64">
        <f t="shared" si="8"/>
        <v>318.22999999999996</v>
      </c>
      <c r="M10" s="64"/>
      <c r="N10" s="64">
        <f t="shared" ref="N10:R10" si="13">N11+N12</f>
        <v>318.22999999999996</v>
      </c>
      <c r="O10" s="64"/>
      <c r="P10" s="64">
        <f t="shared" si="10"/>
        <v>319</v>
      </c>
      <c r="Q10" s="64">
        <f t="shared" si="13"/>
        <v>0</v>
      </c>
      <c r="R10" s="64">
        <f t="shared" si="13"/>
        <v>319</v>
      </c>
      <c r="S10" s="64"/>
      <c r="T10" s="64">
        <f t="shared" si="11"/>
        <v>1699.046</v>
      </c>
      <c r="U10" s="64">
        <f t="shared" si="1"/>
        <v>0</v>
      </c>
      <c r="V10" s="64">
        <f t="shared" si="2"/>
        <v>1699.046</v>
      </c>
      <c r="W10" s="47">
        <f t="shared" si="3"/>
        <v>0</v>
      </c>
      <c r="X10" s="42"/>
    </row>
    <row r="11" spans="1:24" s="17" customFormat="1" ht="36.75" customHeight="1">
      <c r="A11" s="15" t="s">
        <v>13</v>
      </c>
      <c r="B11" s="16" t="s">
        <v>14</v>
      </c>
      <c r="C11" s="57">
        <f t="shared" si="4"/>
        <v>44.5</v>
      </c>
      <c r="D11" s="66"/>
      <c r="E11" s="67">
        <v>44.5</v>
      </c>
      <c r="F11" s="68">
        <f>G11+H11</f>
        <v>37.515999999999998</v>
      </c>
      <c r="G11" s="61"/>
      <c r="H11" s="61">
        <f>0.037516*1000</f>
        <v>37.515999999999998</v>
      </c>
      <c r="I11" s="63">
        <f t="shared" si="7"/>
        <v>28.7</v>
      </c>
      <c r="J11" s="69"/>
      <c r="K11" s="70">
        <v>28.7</v>
      </c>
      <c r="L11" s="69">
        <f t="shared" si="8"/>
        <v>24.4</v>
      </c>
      <c r="M11" s="69"/>
      <c r="N11" s="69">
        <v>24.4</v>
      </c>
      <c r="O11" s="69"/>
      <c r="P11" s="69">
        <f t="shared" si="10"/>
        <v>26.5</v>
      </c>
      <c r="Q11" s="69"/>
      <c r="R11" s="69">
        <v>26.5</v>
      </c>
      <c r="S11" s="69"/>
      <c r="T11" s="69">
        <f t="shared" si="11"/>
        <v>161.61599999999999</v>
      </c>
      <c r="U11" s="69">
        <f t="shared" si="1"/>
        <v>0</v>
      </c>
      <c r="V11" s="69">
        <f t="shared" si="2"/>
        <v>161.61599999999999</v>
      </c>
      <c r="W11" s="47">
        <f t="shared" si="3"/>
        <v>0</v>
      </c>
      <c r="X11" s="43"/>
    </row>
    <row r="12" spans="1:24" s="17" customFormat="1" ht="35.25" customHeight="1">
      <c r="A12" s="15" t="s">
        <v>15</v>
      </c>
      <c r="B12" s="16" t="s">
        <v>16</v>
      </c>
      <c r="C12" s="57">
        <f t="shared" si="4"/>
        <v>370.90000000000003</v>
      </c>
      <c r="D12" s="66"/>
      <c r="E12" s="67">
        <v>370.90000000000003</v>
      </c>
      <c r="F12" s="68">
        <f t="shared" si="5"/>
        <v>298.3</v>
      </c>
      <c r="G12" s="61"/>
      <c r="H12" s="61">
        <f>0.2983*1000</f>
        <v>298.3</v>
      </c>
      <c r="I12" s="63">
        <f t="shared" si="7"/>
        <v>281.89999999999998</v>
      </c>
      <c r="J12" s="69"/>
      <c r="K12" s="70">
        <v>281.89999999999998</v>
      </c>
      <c r="L12" s="69">
        <f t="shared" si="8"/>
        <v>293.83</v>
      </c>
      <c r="M12" s="69"/>
      <c r="N12" s="69">
        <v>293.83</v>
      </c>
      <c r="O12" s="69"/>
      <c r="P12" s="69">
        <f t="shared" si="10"/>
        <v>292.5</v>
      </c>
      <c r="Q12" s="69"/>
      <c r="R12" s="69">
        <v>292.5</v>
      </c>
      <c r="S12" s="69"/>
      <c r="T12" s="69">
        <f t="shared" si="11"/>
        <v>1537.43</v>
      </c>
      <c r="U12" s="69">
        <f t="shared" si="1"/>
        <v>0</v>
      </c>
      <c r="V12" s="69">
        <f t="shared" si="2"/>
        <v>1537.43</v>
      </c>
      <c r="W12" s="47">
        <f t="shared" si="3"/>
        <v>0</v>
      </c>
      <c r="X12" s="43"/>
    </row>
    <row r="13" spans="1:24" s="14" customFormat="1" ht="22.5" customHeight="1">
      <c r="A13" s="12">
        <v>2</v>
      </c>
      <c r="B13" s="13" t="s">
        <v>17</v>
      </c>
      <c r="C13" s="57">
        <f t="shared" si="4"/>
        <v>89.899999999999991</v>
      </c>
      <c r="D13" s="58"/>
      <c r="E13" s="59">
        <f>E14+E15+E16+E17+E18+E19+E20</f>
        <v>89.899999999999991</v>
      </c>
      <c r="F13" s="60">
        <f t="shared" si="5"/>
        <v>236.13</v>
      </c>
      <c r="G13" s="71">
        <f>SUM(G14:G20)</f>
        <v>88.74</v>
      </c>
      <c r="H13" s="71">
        <f>SUM(H14:H20)</f>
        <v>147.38999999999999</v>
      </c>
      <c r="I13" s="63">
        <f t="shared" si="7"/>
        <v>274.10000000000002</v>
      </c>
      <c r="J13" s="64">
        <f>J14+J15+J16+J17+J18+J19+J20+J21</f>
        <v>274.10000000000002</v>
      </c>
      <c r="K13" s="65"/>
      <c r="L13" s="64">
        <f t="shared" si="8"/>
        <v>336.28200000000004</v>
      </c>
      <c r="M13" s="64">
        <f>M14+M15+M16+M17+M18+M19+M21+M20</f>
        <v>250.36200000000002</v>
      </c>
      <c r="N13" s="64">
        <f>N14+N15+N16+N17+N18+N19+N21+N20</f>
        <v>11.92</v>
      </c>
      <c r="O13" s="64">
        <f>O14+O15+O16+O17+O18+O19+O21+O20</f>
        <v>74</v>
      </c>
      <c r="P13" s="64">
        <f t="shared" si="10"/>
        <v>303</v>
      </c>
      <c r="Q13" s="64">
        <f>Q14+Q15+Q16+Q17+Q18+Q19+Q21+Q20</f>
        <v>239</v>
      </c>
      <c r="R13" s="64">
        <f>R14+R15+R16+R17+R18+R19+R21+R20</f>
        <v>12</v>
      </c>
      <c r="S13" s="64">
        <f>S14+S15+S16+S17+S18+S19+S21+S20</f>
        <v>52</v>
      </c>
      <c r="T13" s="64">
        <f t="shared" si="11"/>
        <v>1239.4119999999998</v>
      </c>
      <c r="U13" s="64">
        <f t="shared" si="1"/>
        <v>852.202</v>
      </c>
      <c r="V13" s="64">
        <f t="shared" si="2"/>
        <v>261.20999999999992</v>
      </c>
      <c r="W13" s="47">
        <f t="shared" si="3"/>
        <v>126</v>
      </c>
      <c r="X13" s="42"/>
    </row>
    <row r="14" spans="1:24" s="14" customFormat="1" ht="96" customHeight="1">
      <c r="A14" s="18" t="s">
        <v>18</v>
      </c>
      <c r="B14" s="13" t="s">
        <v>19</v>
      </c>
      <c r="C14" s="57">
        <f t="shared" si="4"/>
        <v>89.899999999999991</v>
      </c>
      <c r="D14" s="58"/>
      <c r="E14" s="59">
        <v>89.899999999999991</v>
      </c>
      <c r="F14" s="60">
        <f t="shared" si="5"/>
        <v>89.57</v>
      </c>
      <c r="G14" s="61"/>
      <c r="H14" s="61">
        <f>0.08957*1000</f>
        <v>89.57</v>
      </c>
      <c r="I14" s="63">
        <f t="shared" si="7"/>
        <v>89.9</v>
      </c>
      <c r="J14" s="64">
        <v>89.9</v>
      </c>
      <c r="K14" s="65"/>
      <c r="L14" s="64">
        <f t="shared" si="8"/>
        <v>77.192000000000007</v>
      </c>
      <c r="M14" s="64">
        <v>65.272000000000006</v>
      </c>
      <c r="N14" s="64">
        <v>11.92</v>
      </c>
      <c r="O14" s="64"/>
      <c r="P14" s="64">
        <f t="shared" si="10"/>
        <v>122</v>
      </c>
      <c r="Q14" s="64">
        <v>110</v>
      </c>
      <c r="R14" s="64">
        <v>12</v>
      </c>
      <c r="S14" s="64"/>
      <c r="T14" s="64">
        <f t="shared" si="11"/>
        <v>468.56200000000001</v>
      </c>
      <c r="U14" s="64">
        <f t="shared" si="1"/>
        <v>265.17200000000003</v>
      </c>
      <c r="V14" s="64">
        <f t="shared" si="2"/>
        <v>203.38999999999996</v>
      </c>
      <c r="W14" s="47">
        <f t="shared" si="3"/>
        <v>0</v>
      </c>
      <c r="X14" s="42"/>
    </row>
    <row r="15" spans="1:24" s="14" customFormat="1" ht="41.25" customHeight="1">
      <c r="A15" s="12" t="s">
        <v>18</v>
      </c>
      <c r="B15" s="13" t="s">
        <v>20</v>
      </c>
      <c r="C15" s="57"/>
      <c r="D15" s="58"/>
      <c r="E15" s="59"/>
      <c r="F15" s="60"/>
      <c r="G15" s="61"/>
      <c r="H15" s="61"/>
      <c r="I15" s="63"/>
      <c r="J15" s="64"/>
      <c r="K15" s="65"/>
      <c r="L15" s="64">
        <f t="shared" si="8"/>
        <v>0</v>
      </c>
      <c r="M15" s="64"/>
      <c r="N15" s="64"/>
      <c r="O15" s="64"/>
      <c r="P15" s="64">
        <f t="shared" si="10"/>
        <v>0</v>
      </c>
      <c r="Q15" s="64"/>
      <c r="R15" s="64"/>
      <c r="S15" s="64"/>
      <c r="T15" s="64">
        <f t="shared" si="11"/>
        <v>0</v>
      </c>
      <c r="U15" s="64">
        <f t="shared" si="1"/>
        <v>0</v>
      </c>
      <c r="V15" s="64">
        <f t="shared" si="2"/>
        <v>0</v>
      </c>
      <c r="W15" s="47">
        <f t="shared" si="3"/>
        <v>0</v>
      </c>
      <c r="X15" s="42"/>
    </row>
    <row r="16" spans="1:24" s="14" customFormat="1" ht="39.75" customHeight="1">
      <c r="A16" s="12" t="s">
        <v>18</v>
      </c>
      <c r="B16" s="13" t="s">
        <v>21</v>
      </c>
      <c r="C16" s="57"/>
      <c r="D16" s="58"/>
      <c r="E16" s="59"/>
      <c r="F16" s="60">
        <f t="shared" si="5"/>
        <v>29.9</v>
      </c>
      <c r="G16" s="61"/>
      <c r="H16" s="61">
        <f>0.0299*1000</f>
        <v>29.9</v>
      </c>
      <c r="I16" s="63">
        <f t="shared" si="7"/>
        <v>30</v>
      </c>
      <c r="J16" s="64">
        <v>30</v>
      </c>
      <c r="K16" s="65"/>
      <c r="L16" s="64">
        <f t="shared" si="8"/>
        <v>59.6</v>
      </c>
      <c r="M16" s="64">
        <v>29.6</v>
      </c>
      <c r="N16" s="64"/>
      <c r="O16" s="64">
        <v>30</v>
      </c>
      <c r="P16" s="64">
        <f t="shared" si="10"/>
        <v>30</v>
      </c>
      <c r="Q16" s="64"/>
      <c r="R16" s="64"/>
      <c r="S16" s="64">
        <v>30</v>
      </c>
      <c r="T16" s="64">
        <f t="shared" si="11"/>
        <v>149.5</v>
      </c>
      <c r="U16" s="64">
        <f t="shared" si="1"/>
        <v>59.6</v>
      </c>
      <c r="V16" s="64">
        <f t="shared" si="2"/>
        <v>29.9</v>
      </c>
      <c r="W16" s="47">
        <f t="shared" si="3"/>
        <v>60</v>
      </c>
      <c r="X16" s="42"/>
    </row>
    <row r="17" spans="1:24" s="14" customFormat="1" ht="53.25" customHeight="1">
      <c r="A17" s="12" t="s">
        <v>18</v>
      </c>
      <c r="B17" s="13" t="s">
        <v>22</v>
      </c>
      <c r="C17" s="57"/>
      <c r="D17" s="58"/>
      <c r="E17" s="59"/>
      <c r="F17" s="60">
        <f t="shared" si="5"/>
        <v>0</v>
      </c>
      <c r="G17" s="61"/>
      <c r="H17" s="61"/>
      <c r="I17" s="63">
        <f t="shared" si="7"/>
        <v>0</v>
      </c>
      <c r="J17" s="64"/>
      <c r="K17" s="65"/>
      <c r="L17" s="64">
        <f t="shared" si="8"/>
        <v>0</v>
      </c>
      <c r="M17" s="64"/>
      <c r="N17" s="64"/>
      <c r="O17" s="64"/>
      <c r="P17" s="64">
        <f t="shared" si="10"/>
        <v>0</v>
      </c>
      <c r="Q17" s="64"/>
      <c r="R17" s="64"/>
      <c r="S17" s="64"/>
      <c r="T17" s="64">
        <f t="shared" si="11"/>
        <v>0</v>
      </c>
      <c r="U17" s="64">
        <f t="shared" si="1"/>
        <v>0</v>
      </c>
      <c r="V17" s="64">
        <f t="shared" si="2"/>
        <v>0</v>
      </c>
      <c r="W17" s="47">
        <f t="shared" si="3"/>
        <v>0</v>
      </c>
      <c r="X17" s="42"/>
    </row>
    <row r="18" spans="1:24" s="14" customFormat="1" ht="27.75" customHeight="1">
      <c r="A18" s="12" t="s">
        <v>18</v>
      </c>
      <c r="B18" s="13" t="s">
        <v>23</v>
      </c>
      <c r="C18" s="57"/>
      <c r="D18" s="58"/>
      <c r="E18" s="59"/>
      <c r="F18" s="60">
        <f t="shared" si="5"/>
        <v>20</v>
      </c>
      <c r="G18" s="61"/>
      <c r="H18" s="61">
        <f>0.02*1000</f>
        <v>20</v>
      </c>
      <c r="I18" s="63">
        <f t="shared" si="7"/>
        <v>20</v>
      </c>
      <c r="J18" s="64">
        <v>20</v>
      </c>
      <c r="K18" s="65"/>
      <c r="L18" s="64">
        <f t="shared" si="8"/>
        <v>0</v>
      </c>
      <c r="M18" s="64"/>
      <c r="N18" s="64"/>
      <c r="O18" s="64"/>
      <c r="P18" s="64">
        <f t="shared" si="10"/>
        <v>0</v>
      </c>
      <c r="Q18" s="64"/>
      <c r="R18" s="64"/>
      <c r="S18" s="64"/>
      <c r="T18" s="64">
        <f t="shared" si="11"/>
        <v>40</v>
      </c>
      <c r="U18" s="64">
        <f t="shared" si="1"/>
        <v>20</v>
      </c>
      <c r="V18" s="64">
        <f t="shared" si="2"/>
        <v>20</v>
      </c>
      <c r="W18" s="47">
        <f t="shared" si="3"/>
        <v>0</v>
      </c>
      <c r="X18" s="42"/>
    </row>
    <row r="19" spans="1:24" s="14" customFormat="1" ht="30" customHeight="1">
      <c r="A19" s="12" t="s">
        <v>18</v>
      </c>
      <c r="B19" s="13" t="s">
        <v>24</v>
      </c>
      <c r="C19" s="57"/>
      <c r="D19" s="58"/>
      <c r="E19" s="59"/>
      <c r="F19" s="60">
        <f>G19+H19</f>
        <v>7.92</v>
      </c>
      <c r="G19" s="61"/>
      <c r="H19" s="61">
        <f>0.00792*1000</f>
        <v>7.92</v>
      </c>
      <c r="I19" s="63">
        <f t="shared" si="7"/>
        <v>8</v>
      </c>
      <c r="J19" s="64">
        <v>8</v>
      </c>
      <c r="K19" s="65"/>
      <c r="L19" s="64">
        <f t="shared" si="8"/>
        <v>0</v>
      </c>
      <c r="M19" s="64"/>
      <c r="N19" s="64"/>
      <c r="O19" s="64"/>
      <c r="P19" s="64">
        <f t="shared" si="10"/>
        <v>0</v>
      </c>
      <c r="Q19" s="64"/>
      <c r="R19" s="64"/>
      <c r="S19" s="64"/>
      <c r="T19" s="64">
        <f t="shared" si="11"/>
        <v>15.92</v>
      </c>
      <c r="U19" s="64">
        <f t="shared" si="1"/>
        <v>8</v>
      </c>
      <c r="V19" s="64">
        <f t="shared" si="2"/>
        <v>7.92</v>
      </c>
      <c r="W19" s="47">
        <f t="shared" si="3"/>
        <v>0</v>
      </c>
      <c r="X19" s="42"/>
    </row>
    <row r="20" spans="1:24" s="14" customFormat="1" ht="38.25" customHeight="1">
      <c r="A20" s="12" t="s">
        <v>18</v>
      </c>
      <c r="B20" s="13" t="s">
        <v>25</v>
      </c>
      <c r="C20" s="57"/>
      <c r="D20" s="58"/>
      <c r="E20" s="59"/>
      <c r="F20" s="60">
        <f t="shared" si="5"/>
        <v>88.74</v>
      </c>
      <c r="G20" s="61">
        <f>0.08874*1000</f>
        <v>88.74</v>
      </c>
      <c r="H20" s="61"/>
      <c r="I20" s="63">
        <f t="shared" si="7"/>
        <v>63.199999999999996</v>
      </c>
      <c r="J20" s="64">
        <f>22.9+7.9+32.4</f>
        <v>63.199999999999996</v>
      </c>
      <c r="K20" s="65"/>
      <c r="L20" s="64">
        <f t="shared" si="8"/>
        <v>184.73</v>
      </c>
      <c r="M20" s="64">
        <f>17.77+39.87+25.99+57.1</f>
        <v>140.72999999999999</v>
      </c>
      <c r="N20" s="64"/>
      <c r="O20" s="64">
        <v>44</v>
      </c>
      <c r="P20" s="64">
        <f t="shared" si="10"/>
        <v>151</v>
      </c>
      <c r="Q20" s="64">
        <f>129</f>
        <v>129</v>
      </c>
      <c r="R20" s="64"/>
      <c r="S20" s="64">
        <v>22</v>
      </c>
      <c r="T20" s="64">
        <f t="shared" si="11"/>
        <v>487.66999999999996</v>
      </c>
      <c r="U20" s="64">
        <f t="shared" si="1"/>
        <v>421.66999999999996</v>
      </c>
      <c r="V20" s="64">
        <f t="shared" si="2"/>
        <v>0</v>
      </c>
      <c r="W20" s="47">
        <f t="shared" si="3"/>
        <v>66</v>
      </c>
      <c r="X20" s="42"/>
    </row>
    <row r="21" spans="1:24" s="14" customFormat="1" ht="38.25" customHeight="1">
      <c r="A21" s="18" t="s">
        <v>18</v>
      </c>
      <c r="B21" s="13" t="s">
        <v>26</v>
      </c>
      <c r="C21" s="57"/>
      <c r="D21" s="58"/>
      <c r="E21" s="59"/>
      <c r="F21" s="60"/>
      <c r="G21" s="61"/>
      <c r="H21" s="61"/>
      <c r="I21" s="63">
        <f t="shared" si="7"/>
        <v>63</v>
      </c>
      <c r="J21" s="64">
        <v>63</v>
      </c>
      <c r="K21" s="65"/>
      <c r="L21" s="72">
        <f t="shared" si="8"/>
        <v>14.76</v>
      </c>
      <c r="M21" s="72">
        <f>123*0.12</f>
        <v>14.76</v>
      </c>
      <c r="N21" s="64"/>
      <c r="O21" s="64"/>
      <c r="P21" s="64">
        <f t="shared" si="10"/>
        <v>0</v>
      </c>
      <c r="Q21" s="64"/>
      <c r="R21" s="64"/>
      <c r="S21" s="64"/>
      <c r="T21" s="64">
        <f t="shared" si="11"/>
        <v>77.760000000000005</v>
      </c>
      <c r="U21" s="64">
        <f t="shared" si="1"/>
        <v>77.760000000000005</v>
      </c>
      <c r="V21" s="64">
        <f t="shared" si="2"/>
        <v>0</v>
      </c>
      <c r="W21" s="47">
        <f t="shared" si="3"/>
        <v>0</v>
      </c>
      <c r="X21" s="42"/>
    </row>
    <row r="22" spans="1:24" s="9" customFormat="1" ht="28.5" customHeight="1">
      <c r="A22" s="19" t="s">
        <v>27</v>
      </c>
      <c r="B22" s="11" t="s">
        <v>28</v>
      </c>
      <c r="C22" s="44">
        <f t="shared" si="4"/>
        <v>969.96</v>
      </c>
      <c r="D22" s="51"/>
      <c r="E22" s="52">
        <f>E23+E28</f>
        <v>969.96</v>
      </c>
      <c r="F22" s="53">
        <f>G22+H22</f>
        <v>655.30400000000009</v>
      </c>
      <c r="G22" s="54"/>
      <c r="H22" s="54">
        <f>H23+H28</f>
        <v>655.30400000000009</v>
      </c>
      <c r="I22" s="48">
        <f t="shared" si="7"/>
        <v>535.70000000000005</v>
      </c>
      <c r="J22" s="55"/>
      <c r="K22" s="56">
        <f>K23+K28</f>
        <v>535.70000000000005</v>
      </c>
      <c r="L22" s="55">
        <f t="shared" si="8"/>
        <v>471.00799999999998</v>
      </c>
      <c r="M22" s="55"/>
      <c r="N22" s="55">
        <f>N23+N28+N29</f>
        <v>446.50799999999998</v>
      </c>
      <c r="O22" s="55">
        <f>O23+O28+O29</f>
        <v>24.5</v>
      </c>
      <c r="P22" s="55">
        <f t="shared" si="10"/>
        <v>624.89800000000002</v>
      </c>
      <c r="Q22" s="55">
        <f t="shared" ref="Q22" si="14">Q23+Q28</f>
        <v>0</v>
      </c>
      <c r="R22" s="55">
        <f>R23+R28+R29</f>
        <v>574.89800000000002</v>
      </c>
      <c r="S22" s="55">
        <f>S23+S28+S29</f>
        <v>50</v>
      </c>
      <c r="T22" s="55">
        <f t="shared" si="11"/>
        <v>3256.87</v>
      </c>
      <c r="U22" s="55">
        <f t="shared" si="1"/>
        <v>0</v>
      </c>
      <c r="V22" s="55">
        <f t="shared" si="2"/>
        <v>3182.37</v>
      </c>
      <c r="W22" s="47">
        <f t="shared" si="3"/>
        <v>74.5</v>
      </c>
      <c r="X22" s="41"/>
    </row>
    <row r="23" spans="1:24" s="14" customFormat="1" ht="24.75" customHeight="1">
      <c r="A23" s="12">
        <v>1</v>
      </c>
      <c r="B23" s="13" t="s">
        <v>29</v>
      </c>
      <c r="C23" s="57">
        <f t="shared" si="4"/>
        <v>955.42000000000007</v>
      </c>
      <c r="D23" s="73"/>
      <c r="E23" s="59">
        <f>E24+E25+E26+E27</f>
        <v>955.42000000000007</v>
      </c>
      <c r="F23" s="60">
        <f t="shared" si="5"/>
        <v>650.30000000000007</v>
      </c>
      <c r="G23" s="71"/>
      <c r="H23" s="71">
        <f>H24+H25+H26+H27</f>
        <v>650.30000000000007</v>
      </c>
      <c r="I23" s="63">
        <f t="shared" si="7"/>
        <v>533.40000000000009</v>
      </c>
      <c r="J23" s="64"/>
      <c r="K23" s="65">
        <f>K24+K25+K26+K27</f>
        <v>533.40000000000009</v>
      </c>
      <c r="L23" s="64">
        <f t="shared" si="8"/>
        <v>444.27799999999996</v>
      </c>
      <c r="M23" s="64"/>
      <c r="N23" s="64">
        <f t="shared" ref="N23:R23" si="15">N24+N25+N26+N27</f>
        <v>444.27799999999996</v>
      </c>
      <c r="O23" s="64"/>
      <c r="P23" s="64">
        <f t="shared" si="10"/>
        <v>569.89800000000002</v>
      </c>
      <c r="Q23" s="64">
        <f t="shared" si="15"/>
        <v>0</v>
      </c>
      <c r="R23" s="64">
        <f t="shared" si="15"/>
        <v>569.89800000000002</v>
      </c>
      <c r="S23" s="64"/>
      <c r="T23" s="64">
        <f t="shared" si="11"/>
        <v>3153.2960000000003</v>
      </c>
      <c r="U23" s="64">
        <f t="shared" si="1"/>
        <v>0</v>
      </c>
      <c r="V23" s="64">
        <f t="shared" si="2"/>
        <v>3153.2960000000003</v>
      </c>
      <c r="W23" s="47">
        <f t="shared" si="3"/>
        <v>0</v>
      </c>
      <c r="X23" s="42"/>
    </row>
    <row r="24" spans="1:24" s="14" customFormat="1" ht="22.5" customHeight="1">
      <c r="A24" s="15" t="s">
        <v>30</v>
      </c>
      <c r="B24" s="20" t="s">
        <v>31</v>
      </c>
      <c r="C24" s="57">
        <f t="shared" si="4"/>
        <v>593.67999999999995</v>
      </c>
      <c r="D24" s="58"/>
      <c r="E24" s="59">
        <v>593.67999999999995</v>
      </c>
      <c r="F24" s="60">
        <f t="shared" si="5"/>
        <v>441.40000000000003</v>
      </c>
      <c r="G24" s="61"/>
      <c r="H24" s="61">
        <f>0.4414*1000</f>
        <v>441.40000000000003</v>
      </c>
      <c r="I24" s="63">
        <f t="shared" si="7"/>
        <v>403.5</v>
      </c>
      <c r="J24" s="64"/>
      <c r="K24" s="65">
        <v>403.5</v>
      </c>
      <c r="L24" s="64">
        <f t="shared" si="8"/>
        <v>381.59</v>
      </c>
      <c r="M24" s="64"/>
      <c r="N24" s="64">
        <f>381.59</f>
        <v>381.59</v>
      </c>
      <c r="O24" s="64"/>
      <c r="P24" s="64">
        <f t="shared" si="10"/>
        <v>343.3</v>
      </c>
      <c r="Q24" s="64"/>
      <c r="R24" s="64">
        <v>343.3</v>
      </c>
      <c r="S24" s="64"/>
      <c r="T24" s="64">
        <f t="shared" si="11"/>
        <v>2163.4699999999998</v>
      </c>
      <c r="U24" s="64">
        <f t="shared" si="1"/>
        <v>0</v>
      </c>
      <c r="V24" s="64">
        <f t="shared" si="2"/>
        <v>2163.4699999999998</v>
      </c>
      <c r="W24" s="47">
        <f t="shared" si="3"/>
        <v>0</v>
      </c>
      <c r="X24" s="42"/>
    </row>
    <row r="25" spans="1:24" s="14" customFormat="1" ht="17.25" customHeight="1">
      <c r="A25" s="15" t="s">
        <v>30</v>
      </c>
      <c r="B25" s="20" t="s">
        <v>32</v>
      </c>
      <c r="C25" s="57">
        <f t="shared" si="4"/>
        <v>144.82</v>
      </c>
      <c r="D25" s="58"/>
      <c r="E25" s="59">
        <v>144.82</v>
      </c>
      <c r="F25" s="60">
        <f t="shared" si="5"/>
        <v>150.29999999999998</v>
      </c>
      <c r="G25" s="61"/>
      <c r="H25" s="61">
        <f>0.1503*1000</f>
        <v>150.29999999999998</v>
      </c>
      <c r="I25" s="63">
        <f t="shared" si="7"/>
        <v>80.599999999999994</v>
      </c>
      <c r="J25" s="64"/>
      <c r="K25" s="65">
        <v>80.599999999999994</v>
      </c>
      <c r="L25" s="64">
        <f t="shared" si="8"/>
        <v>62.688000000000002</v>
      </c>
      <c r="M25" s="64"/>
      <c r="N25" s="64">
        <v>62.688000000000002</v>
      </c>
      <c r="O25" s="64"/>
      <c r="P25" s="64">
        <f t="shared" si="10"/>
        <v>84.567999999999998</v>
      </c>
      <c r="Q25" s="64"/>
      <c r="R25" s="64">
        <v>84.567999999999998</v>
      </c>
      <c r="S25" s="64"/>
      <c r="T25" s="64">
        <f t="shared" si="11"/>
        <v>522.976</v>
      </c>
      <c r="U25" s="64">
        <f t="shared" si="1"/>
        <v>0</v>
      </c>
      <c r="V25" s="64">
        <f t="shared" si="2"/>
        <v>522.976</v>
      </c>
      <c r="W25" s="47">
        <f t="shared" si="3"/>
        <v>0</v>
      </c>
      <c r="X25" s="42"/>
    </row>
    <row r="26" spans="1:24" s="14" customFormat="1" ht="19.5" customHeight="1">
      <c r="A26" s="15" t="s">
        <v>30</v>
      </c>
      <c r="B26" s="20" t="s">
        <v>33</v>
      </c>
      <c r="C26" s="57">
        <f t="shared" si="4"/>
        <v>63.98</v>
      </c>
      <c r="D26" s="58"/>
      <c r="E26" s="59">
        <v>63.98</v>
      </c>
      <c r="F26" s="60">
        <f t="shared" si="5"/>
        <v>46.1</v>
      </c>
      <c r="G26" s="61"/>
      <c r="H26" s="61">
        <f>0.0461*1000</f>
        <v>46.1</v>
      </c>
      <c r="I26" s="63">
        <f t="shared" si="7"/>
        <v>5.8</v>
      </c>
      <c r="J26" s="64"/>
      <c r="K26" s="65">
        <v>5.8</v>
      </c>
      <c r="L26" s="64">
        <f t="shared" si="8"/>
        <v>0</v>
      </c>
      <c r="M26" s="64"/>
      <c r="N26" s="64"/>
      <c r="O26" s="64"/>
      <c r="P26" s="64">
        <f t="shared" si="10"/>
        <v>47.75</v>
      </c>
      <c r="Q26" s="64"/>
      <c r="R26" s="64">
        <v>47.75</v>
      </c>
      <c r="S26" s="64"/>
      <c r="T26" s="64">
        <f t="shared" si="11"/>
        <v>163.63</v>
      </c>
      <c r="U26" s="64">
        <f t="shared" si="1"/>
        <v>0</v>
      </c>
      <c r="V26" s="64">
        <f t="shared" si="2"/>
        <v>163.63</v>
      </c>
      <c r="W26" s="47">
        <f t="shared" si="3"/>
        <v>0</v>
      </c>
      <c r="X26" s="42"/>
    </row>
    <row r="27" spans="1:24" s="14" customFormat="1" ht="39" customHeight="1">
      <c r="A27" s="15" t="s">
        <v>30</v>
      </c>
      <c r="B27" s="20" t="s">
        <v>34</v>
      </c>
      <c r="C27" s="57">
        <f t="shared" si="4"/>
        <v>152.94</v>
      </c>
      <c r="D27" s="58"/>
      <c r="E27" s="59">
        <v>152.94</v>
      </c>
      <c r="F27" s="60">
        <f t="shared" si="5"/>
        <v>12.5</v>
      </c>
      <c r="G27" s="61"/>
      <c r="H27" s="61">
        <f>0.0125*1000</f>
        <v>12.5</v>
      </c>
      <c r="I27" s="63">
        <f t="shared" si="7"/>
        <v>43.5</v>
      </c>
      <c r="J27" s="64"/>
      <c r="K27" s="65">
        <v>43.5</v>
      </c>
      <c r="L27" s="64">
        <f t="shared" si="8"/>
        <v>0</v>
      </c>
      <c r="M27" s="64"/>
      <c r="N27" s="64"/>
      <c r="O27" s="64"/>
      <c r="P27" s="64">
        <f t="shared" si="10"/>
        <v>94.28</v>
      </c>
      <c r="Q27" s="64"/>
      <c r="R27" s="64">
        <v>94.28</v>
      </c>
      <c r="S27" s="64"/>
      <c r="T27" s="64">
        <f t="shared" si="11"/>
        <v>303.22000000000003</v>
      </c>
      <c r="U27" s="64">
        <f t="shared" si="1"/>
        <v>0</v>
      </c>
      <c r="V27" s="64">
        <f t="shared" si="2"/>
        <v>303.22000000000003</v>
      </c>
      <c r="W27" s="47">
        <f t="shared" si="3"/>
        <v>0</v>
      </c>
      <c r="X27" s="42"/>
    </row>
    <row r="28" spans="1:24" s="14" customFormat="1" ht="30" customHeight="1">
      <c r="A28" s="12">
        <v>2</v>
      </c>
      <c r="B28" s="20" t="s">
        <v>35</v>
      </c>
      <c r="C28" s="57">
        <f t="shared" si="4"/>
        <v>14.540000000000001</v>
      </c>
      <c r="D28" s="58"/>
      <c r="E28" s="59">
        <v>14.540000000000001</v>
      </c>
      <c r="F28" s="60">
        <f t="shared" si="5"/>
        <v>5.0039999999999996</v>
      </c>
      <c r="G28" s="61"/>
      <c r="H28" s="61">
        <f>0.005004*1000</f>
        <v>5.0039999999999996</v>
      </c>
      <c r="I28" s="63">
        <f t="shared" si="7"/>
        <v>2.2999999999999998</v>
      </c>
      <c r="J28" s="64"/>
      <c r="K28" s="65">
        <v>2.2999999999999998</v>
      </c>
      <c r="L28" s="64">
        <f t="shared" si="8"/>
        <v>2.23</v>
      </c>
      <c r="M28" s="64"/>
      <c r="N28" s="64">
        <v>2.23</v>
      </c>
      <c r="O28" s="64"/>
      <c r="P28" s="64">
        <f t="shared" si="10"/>
        <v>5</v>
      </c>
      <c r="Q28" s="64"/>
      <c r="R28" s="64">
        <v>5</v>
      </c>
      <c r="S28" s="64"/>
      <c r="T28" s="64">
        <f t="shared" si="11"/>
        <v>29.074000000000002</v>
      </c>
      <c r="U28" s="64">
        <f t="shared" si="1"/>
        <v>0</v>
      </c>
      <c r="V28" s="64">
        <f t="shared" si="2"/>
        <v>29.074000000000002</v>
      </c>
      <c r="W28" s="47">
        <f t="shared" si="3"/>
        <v>0</v>
      </c>
      <c r="X28" s="42"/>
    </row>
    <row r="29" spans="1:24" s="14" customFormat="1" ht="25.5" customHeight="1">
      <c r="A29" s="12">
        <v>3</v>
      </c>
      <c r="B29" s="20" t="s">
        <v>95</v>
      </c>
      <c r="C29" s="57"/>
      <c r="D29" s="58"/>
      <c r="E29" s="59"/>
      <c r="F29" s="60"/>
      <c r="G29" s="61"/>
      <c r="H29" s="61"/>
      <c r="I29" s="63"/>
      <c r="J29" s="64"/>
      <c r="K29" s="65"/>
      <c r="L29" s="64">
        <f t="shared" si="8"/>
        <v>24.5</v>
      </c>
      <c r="M29" s="64"/>
      <c r="N29" s="64"/>
      <c r="O29" s="64">
        <v>24.5</v>
      </c>
      <c r="P29" s="64">
        <f t="shared" si="10"/>
        <v>50</v>
      </c>
      <c r="Q29" s="64"/>
      <c r="R29" s="64"/>
      <c r="S29" s="64">
        <v>50</v>
      </c>
      <c r="T29" s="64">
        <f t="shared" si="11"/>
        <v>74.5</v>
      </c>
      <c r="U29" s="64"/>
      <c r="V29" s="64">
        <f t="shared" ref="V29:V73" si="16">E29+H29+K29+N29+R29</f>
        <v>0</v>
      </c>
      <c r="W29" s="47">
        <f t="shared" si="3"/>
        <v>74.5</v>
      </c>
      <c r="X29" s="42"/>
    </row>
    <row r="30" spans="1:24" s="9" customFormat="1" ht="27.75" customHeight="1">
      <c r="A30" s="19" t="s">
        <v>36</v>
      </c>
      <c r="B30" s="11" t="s">
        <v>37</v>
      </c>
      <c r="C30" s="44">
        <f t="shared" si="4"/>
        <v>1119.4900000000002</v>
      </c>
      <c r="D30" s="51"/>
      <c r="E30" s="52">
        <f>E31+E34+E40+E47+E54</f>
        <v>1119.4900000000002</v>
      </c>
      <c r="F30" s="53">
        <f t="shared" si="5"/>
        <v>2108.1120000000001</v>
      </c>
      <c r="G30" s="54">
        <f>G31+G34+G40+G47+G54</f>
        <v>1550.43</v>
      </c>
      <c r="H30" s="54">
        <f>H31+H34+H40+H47+H54</f>
        <v>557.68200000000002</v>
      </c>
      <c r="I30" s="48">
        <f t="shared" si="7"/>
        <v>4165</v>
      </c>
      <c r="J30" s="55">
        <f>J31+J34+J40+J47+J54</f>
        <v>3833.6</v>
      </c>
      <c r="K30" s="56">
        <f>K31+K34+K40+K47+K54</f>
        <v>331.4</v>
      </c>
      <c r="L30" s="55">
        <f t="shared" si="8"/>
        <v>6379.2570000000005</v>
      </c>
      <c r="M30" s="55">
        <f>M31+M34+M40+M47+M54</f>
        <v>5481.38</v>
      </c>
      <c r="N30" s="55">
        <f>N31+N34+N40+N47+N54</f>
        <v>249.71199999999999</v>
      </c>
      <c r="O30" s="55">
        <f>O31+O34+O40+O47+O54</f>
        <v>648.16499999999996</v>
      </c>
      <c r="P30" s="55">
        <f t="shared" si="10"/>
        <v>4860.62</v>
      </c>
      <c r="Q30" s="55">
        <f>Q31+Q34+Q40+Q47+Q54</f>
        <v>4428.29</v>
      </c>
      <c r="R30" s="55">
        <f>R31+R34+R40+R47+R54</f>
        <v>432.33000000000004</v>
      </c>
      <c r="S30" s="55"/>
      <c r="T30" s="55">
        <f t="shared" si="11"/>
        <v>18632.479000000003</v>
      </c>
      <c r="U30" s="55">
        <f t="shared" ref="U30:U56" si="17">D30+G30+J30+M30+Q30</f>
        <v>15293.7</v>
      </c>
      <c r="V30" s="55">
        <f t="shared" si="16"/>
        <v>2690.614</v>
      </c>
      <c r="W30" s="47">
        <f t="shared" si="3"/>
        <v>648.16499999999996</v>
      </c>
      <c r="X30" s="41"/>
    </row>
    <row r="31" spans="1:24" s="14" customFormat="1" ht="15" customHeight="1">
      <c r="A31" s="12">
        <v>1</v>
      </c>
      <c r="B31" s="13" t="s">
        <v>38</v>
      </c>
      <c r="C31" s="57">
        <f t="shared" si="4"/>
        <v>629.50000000000011</v>
      </c>
      <c r="D31" s="58"/>
      <c r="E31" s="59">
        <f>E32+E33</f>
        <v>629.50000000000011</v>
      </c>
      <c r="F31" s="60">
        <f t="shared" si="5"/>
        <v>768.18100000000004</v>
      </c>
      <c r="G31" s="71">
        <f>SUM(G32:G33)</f>
        <v>404.5</v>
      </c>
      <c r="H31" s="71">
        <f>H32+H33</f>
        <v>363.68099999999998</v>
      </c>
      <c r="I31" s="63">
        <f t="shared" si="7"/>
        <v>928.6</v>
      </c>
      <c r="J31" s="64">
        <f>J32+J33</f>
        <v>786.6</v>
      </c>
      <c r="K31" s="65">
        <f>K32+K33</f>
        <v>142</v>
      </c>
      <c r="L31" s="64">
        <f t="shared" si="8"/>
        <v>629.23199999999997</v>
      </c>
      <c r="M31" s="64">
        <f>M32+M33</f>
        <v>570.52</v>
      </c>
      <c r="N31" s="64">
        <f t="shared" ref="N31:R31" si="18">N32+N33</f>
        <v>58.712000000000003</v>
      </c>
      <c r="O31" s="64"/>
      <c r="P31" s="64">
        <f t="shared" si="10"/>
        <v>1485.5</v>
      </c>
      <c r="Q31" s="64">
        <f t="shared" si="18"/>
        <v>1250.57</v>
      </c>
      <c r="R31" s="64">
        <f t="shared" si="18"/>
        <v>234.93</v>
      </c>
      <c r="S31" s="64"/>
      <c r="T31" s="64">
        <f t="shared" si="11"/>
        <v>4441.0129999999999</v>
      </c>
      <c r="U31" s="64">
        <f t="shared" si="17"/>
        <v>3012.1899999999996</v>
      </c>
      <c r="V31" s="64">
        <f t="shared" si="16"/>
        <v>1428.8230000000001</v>
      </c>
      <c r="W31" s="47">
        <f t="shared" si="3"/>
        <v>0</v>
      </c>
      <c r="X31" s="42"/>
    </row>
    <row r="32" spans="1:24" s="14" customFormat="1" ht="17.25" customHeight="1">
      <c r="A32" s="15" t="s">
        <v>13</v>
      </c>
      <c r="B32" s="13" t="s">
        <v>39</v>
      </c>
      <c r="C32" s="57">
        <f t="shared" si="4"/>
        <v>21.1</v>
      </c>
      <c r="D32" s="58"/>
      <c r="E32" s="59">
        <v>21.1</v>
      </c>
      <c r="F32" s="60">
        <f t="shared" si="5"/>
        <v>11.771000000000001</v>
      </c>
      <c r="G32" s="74">
        <f>0.0041*1000</f>
        <v>4.1000000000000005</v>
      </c>
      <c r="H32" s="74">
        <f>0.007671*1000</f>
        <v>7.6710000000000003</v>
      </c>
      <c r="I32" s="63">
        <f t="shared" si="7"/>
        <v>11.1</v>
      </c>
      <c r="J32" s="64">
        <f>7</f>
        <v>7</v>
      </c>
      <c r="K32" s="65">
        <v>4.0999999999999996</v>
      </c>
      <c r="L32" s="64">
        <f t="shared" si="8"/>
        <v>5.2519999999999998</v>
      </c>
      <c r="M32" s="64">
        <v>5</v>
      </c>
      <c r="N32" s="64">
        <f>0.252</f>
        <v>0.252</v>
      </c>
      <c r="O32" s="64"/>
      <c r="P32" s="64">
        <f t="shared" si="10"/>
        <v>76.22</v>
      </c>
      <c r="Q32" s="64">
        <f>14.86+19.3+14.78+4.45</f>
        <v>53.39</v>
      </c>
      <c r="R32" s="64">
        <f>22.83</f>
        <v>22.83</v>
      </c>
      <c r="S32" s="64"/>
      <c r="T32" s="64">
        <f t="shared" si="11"/>
        <v>125.44300000000001</v>
      </c>
      <c r="U32" s="64">
        <f t="shared" si="17"/>
        <v>69.490000000000009</v>
      </c>
      <c r="V32" s="64">
        <f t="shared" si="16"/>
        <v>55.953000000000003</v>
      </c>
      <c r="W32" s="47">
        <f t="shared" si="3"/>
        <v>0</v>
      </c>
      <c r="X32" s="42"/>
    </row>
    <row r="33" spans="1:24" s="14" customFormat="1" ht="18" customHeight="1">
      <c r="A33" s="15" t="s">
        <v>15</v>
      </c>
      <c r="B33" s="13" t="s">
        <v>40</v>
      </c>
      <c r="C33" s="57">
        <f t="shared" si="4"/>
        <v>608.40000000000009</v>
      </c>
      <c r="D33" s="58"/>
      <c r="E33" s="59">
        <v>608.40000000000009</v>
      </c>
      <c r="F33" s="60">
        <f t="shared" si="5"/>
        <v>756.41</v>
      </c>
      <c r="G33" s="74">
        <f>0.4004*1000</f>
        <v>400.4</v>
      </c>
      <c r="H33" s="75">
        <f>0.35601*1000</f>
        <v>356.01</v>
      </c>
      <c r="I33" s="63">
        <f t="shared" si="7"/>
        <v>917.5</v>
      </c>
      <c r="J33" s="64">
        <v>779.6</v>
      </c>
      <c r="K33" s="65">
        <v>137.9</v>
      </c>
      <c r="L33" s="64">
        <f t="shared" si="8"/>
        <v>623.98</v>
      </c>
      <c r="M33" s="64">
        <f>437.19+128.33</f>
        <v>565.52</v>
      </c>
      <c r="N33" s="64">
        <f>1.83+56.63</f>
        <v>58.46</v>
      </c>
      <c r="O33" s="64"/>
      <c r="P33" s="64">
        <f t="shared" si="10"/>
        <v>1409.2799999999997</v>
      </c>
      <c r="Q33" s="64">
        <f>209.99+58.69+22.9+139.5+12.8+97.3+247.2+128.7+230+50.1</f>
        <v>1197.1799999999998</v>
      </c>
      <c r="R33" s="64">
        <v>212.1</v>
      </c>
      <c r="S33" s="64"/>
      <c r="T33" s="64">
        <f t="shared" si="11"/>
        <v>4315.57</v>
      </c>
      <c r="U33" s="64">
        <f t="shared" si="17"/>
        <v>2942.7</v>
      </c>
      <c r="V33" s="64">
        <f t="shared" si="16"/>
        <v>1372.8700000000001</v>
      </c>
      <c r="W33" s="47">
        <f t="shared" si="3"/>
        <v>0</v>
      </c>
      <c r="X33" s="42"/>
    </row>
    <row r="34" spans="1:24" s="14" customFormat="1" ht="25.5" customHeight="1">
      <c r="A34" s="12">
        <v>2</v>
      </c>
      <c r="B34" s="21" t="s">
        <v>41</v>
      </c>
      <c r="C34" s="57">
        <f t="shared" si="4"/>
        <v>0</v>
      </c>
      <c r="D34" s="58"/>
      <c r="E34" s="59">
        <v>0</v>
      </c>
      <c r="F34" s="60">
        <f t="shared" si="5"/>
        <v>876.08500000000004</v>
      </c>
      <c r="G34" s="71">
        <f>SUM(G35:G39)</f>
        <v>876.08500000000004</v>
      </c>
      <c r="H34" s="71"/>
      <c r="I34" s="63">
        <f t="shared" si="7"/>
        <v>1753.4</v>
      </c>
      <c r="J34" s="64">
        <f>J35+J36+J37+J38+J39</f>
        <v>1753.4</v>
      </c>
      <c r="K34" s="64">
        <f t="shared" ref="K34:M34" si="19">K35+K36+K37+K38+K39</f>
        <v>0</v>
      </c>
      <c r="L34" s="64">
        <f t="shared" si="8"/>
        <v>3895.2649999999999</v>
      </c>
      <c r="M34" s="64">
        <f t="shared" si="19"/>
        <v>3247.1</v>
      </c>
      <c r="N34" s="64">
        <f t="shared" ref="N34:O34" si="20">N35+N36+N37+N38+N39</f>
        <v>0</v>
      </c>
      <c r="O34" s="64">
        <f t="shared" si="20"/>
        <v>648.16499999999996</v>
      </c>
      <c r="P34" s="64">
        <f t="shared" si="10"/>
        <v>2739.4</v>
      </c>
      <c r="Q34" s="64">
        <f>Q35+Q36+Q37+Q38+Q39</f>
        <v>2739.4</v>
      </c>
      <c r="R34" s="64"/>
      <c r="S34" s="64"/>
      <c r="T34" s="64">
        <f t="shared" si="11"/>
        <v>9264.1500000000015</v>
      </c>
      <c r="U34" s="64">
        <f t="shared" si="17"/>
        <v>8615.9850000000006</v>
      </c>
      <c r="V34" s="64">
        <f t="shared" si="16"/>
        <v>0</v>
      </c>
      <c r="W34" s="47">
        <f t="shared" si="3"/>
        <v>648.16499999999996</v>
      </c>
      <c r="X34" s="42"/>
    </row>
    <row r="35" spans="1:24" s="14" customFormat="1" ht="28.5" customHeight="1">
      <c r="A35" s="12" t="s">
        <v>13</v>
      </c>
      <c r="B35" s="13" t="s">
        <v>42</v>
      </c>
      <c r="C35" s="57">
        <f t="shared" si="4"/>
        <v>0</v>
      </c>
      <c r="D35" s="58"/>
      <c r="E35" s="59">
        <v>0</v>
      </c>
      <c r="F35" s="60"/>
      <c r="G35" s="61"/>
      <c r="H35" s="61"/>
      <c r="I35" s="63"/>
      <c r="J35" s="64"/>
      <c r="K35" s="65"/>
      <c r="L35" s="64">
        <f t="shared" si="8"/>
        <v>0</v>
      </c>
      <c r="M35" s="64"/>
      <c r="N35" s="64"/>
      <c r="O35" s="64"/>
      <c r="P35" s="64">
        <f t="shared" si="10"/>
        <v>0</v>
      </c>
      <c r="Q35" s="64"/>
      <c r="R35" s="64"/>
      <c r="S35" s="64"/>
      <c r="T35" s="64">
        <f t="shared" si="11"/>
        <v>0</v>
      </c>
      <c r="U35" s="64">
        <f t="shared" si="17"/>
        <v>0</v>
      </c>
      <c r="V35" s="64">
        <f t="shared" si="16"/>
        <v>0</v>
      </c>
      <c r="W35" s="47">
        <f t="shared" si="3"/>
        <v>0</v>
      </c>
      <c r="X35" s="42"/>
    </row>
    <row r="36" spans="1:24" s="14" customFormat="1" ht="60.75" customHeight="1">
      <c r="A36" s="12" t="s">
        <v>15</v>
      </c>
      <c r="B36" s="13" t="s">
        <v>43</v>
      </c>
      <c r="C36" s="57">
        <f t="shared" si="4"/>
        <v>0</v>
      </c>
      <c r="D36" s="58"/>
      <c r="E36" s="59">
        <v>0</v>
      </c>
      <c r="F36" s="60">
        <f t="shared" si="5"/>
        <v>69.685000000000002</v>
      </c>
      <c r="G36" s="61">
        <f>(0.056+0.013685)*1000</f>
        <v>69.685000000000002</v>
      </c>
      <c r="H36" s="61"/>
      <c r="I36" s="63">
        <f t="shared" si="7"/>
        <v>70</v>
      </c>
      <c r="J36" s="64">
        <v>70</v>
      </c>
      <c r="K36" s="65"/>
      <c r="L36" s="64">
        <f t="shared" si="8"/>
        <v>47</v>
      </c>
      <c r="M36" s="64">
        <v>47</v>
      </c>
      <c r="N36" s="64"/>
      <c r="O36" s="64"/>
      <c r="P36" s="64">
        <f t="shared" si="10"/>
        <v>45</v>
      </c>
      <c r="Q36" s="64">
        <v>45</v>
      </c>
      <c r="R36" s="64"/>
      <c r="S36" s="64"/>
      <c r="T36" s="64">
        <f t="shared" si="11"/>
        <v>231.685</v>
      </c>
      <c r="U36" s="64">
        <f t="shared" si="17"/>
        <v>231.685</v>
      </c>
      <c r="V36" s="64">
        <f t="shared" si="16"/>
        <v>0</v>
      </c>
      <c r="W36" s="47">
        <f t="shared" si="3"/>
        <v>0</v>
      </c>
      <c r="X36" s="42"/>
    </row>
    <row r="37" spans="1:24" s="14" customFormat="1" ht="62.25" customHeight="1">
      <c r="A37" s="12" t="s">
        <v>44</v>
      </c>
      <c r="B37" s="13" t="s">
        <v>45</v>
      </c>
      <c r="C37" s="57">
        <f t="shared" si="4"/>
        <v>0</v>
      </c>
      <c r="D37" s="58"/>
      <c r="E37" s="59">
        <v>0</v>
      </c>
      <c r="F37" s="60"/>
      <c r="G37" s="61"/>
      <c r="H37" s="61"/>
      <c r="I37" s="63"/>
      <c r="J37" s="64"/>
      <c r="K37" s="65"/>
      <c r="L37" s="64">
        <f t="shared" si="8"/>
        <v>0</v>
      </c>
      <c r="M37" s="64"/>
      <c r="N37" s="64"/>
      <c r="O37" s="64"/>
      <c r="P37" s="64">
        <f t="shared" si="10"/>
        <v>0</v>
      </c>
      <c r="Q37" s="64"/>
      <c r="R37" s="64"/>
      <c r="S37" s="64"/>
      <c r="T37" s="64">
        <f t="shared" si="11"/>
        <v>0</v>
      </c>
      <c r="U37" s="64">
        <f t="shared" si="17"/>
        <v>0</v>
      </c>
      <c r="V37" s="64">
        <f t="shared" si="16"/>
        <v>0</v>
      </c>
      <c r="W37" s="47">
        <f t="shared" si="3"/>
        <v>0</v>
      </c>
      <c r="X37" s="42"/>
    </row>
    <row r="38" spans="1:24" s="14" customFormat="1" ht="75" customHeight="1">
      <c r="A38" s="12" t="s">
        <v>46</v>
      </c>
      <c r="B38" s="13" t="s">
        <v>47</v>
      </c>
      <c r="C38" s="57">
        <f t="shared" si="4"/>
        <v>0</v>
      </c>
      <c r="D38" s="58"/>
      <c r="E38" s="59">
        <v>0</v>
      </c>
      <c r="F38" s="60"/>
      <c r="G38" s="61"/>
      <c r="H38" s="61"/>
      <c r="I38" s="63"/>
      <c r="J38" s="64"/>
      <c r="K38" s="65"/>
      <c r="L38" s="64">
        <f t="shared" si="8"/>
        <v>648.16499999999996</v>
      </c>
      <c r="M38" s="64"/>
      <c r="N38" s="64"/>
      <c r="O38" s="64">
        <f>31.735+80.94+535.49</f>
        <v>648.16499999999996</v>
      </c>
      <c r="P38" s="64">
        <f t="shared" si="10"/>
        <v>0</v>
      </c>
      <c r="Q38" s="64"/>
      <c r="R38" s="64"/>
      <c r="S38" s="64"/>
      <c r="T38" s="64">
        <f t="shared" si="11"/>
        <v>648.16499999999996</v>
      </c>
      <c r="U38" s="64">
        <f t="shared" si="17"/>
        <v>0</v>
      </c>
      <c r="V38" s="64">
        <f t="shared" si="16"/>
        <v>0</v>
      </c>
      <c r="W38" s="47">
        <f t="shared" si="3"/>
        <v>648.16499999999996</v>
      </c>
      <c r="X38" s="42"/>
    </row>
    <row r="39" spans="1:24" s="14" customFormat="1" ht="43.5" customHeight="1">
      <c r="A39" s="12" t="s">
        <v>48</v>
      </c>
      <c r="B39" s="22" t="s">
        <v>49</v>
      </c>
      <c r="C39" s="57">
        <f t="shared" si="4"/>
        <v>0</v>
      </c>
      <c r="D39" s="58"/>
      <c r="E39" s="59"/>
      <c r="F39" s="60"/>
      <c r="G39" s="61">
        <f>0.8064*1000</f>
        <v>806.4</v>
      </c>
      <c r="H39" s="61"/>
      <c r="I39" s="63">
        <f t="shared" si="7"/>
        <v>1683.4</v>
      </c>
      <c r="J39" s="64">
        <v>1683.4</v>
      </c>
      <c r="K39" s="65"/>
      <c r="L39" s="64">
        <f t="shared" si="8"/>
        <v>3200.1</v>
      </c>
      <c r="M39" s="64">
        <v>3200.1</v>
      </c>
      <c r="N39" s="64"/>
      <c r="O39" s="64"/>
      <c r="P39" s="64">
        <f t="shared" si="10"/>
        <v>2694.4</v>
      </c>
      <c r="Q39" s="64">
        <v>2694.4</v>
      </c>
      <c r="R39" s="64"/>
      <c r="S39" s="64"/>
      <c r="T39" s="64">
        <f t="shared" si="11"/>
        <v>8384.2999999999993</v>
      </c>
      <c r="U39" s="64">
        <f t="shared" si="17"/>
        <v>8384.2999999999993</v>
      </c>
      <c r="V39" s="64">
        <f t="shared" si="16"/>
        <v>0</v>
      </c>
      <c r="W39" s="47">
        <f t="shared" si="3"/>
        <v>0</v>
      </c>
      <c r="X39" s="42"/>
    </row>
    <row r="40" spans="1:24" s="14" customFormat="1" ht="30" customHeight="1">
      <c r="A40" s="12">
        <v>3</v>
      </c>
      <c r="B40" s="13" t="s">
        <v>50</v>
      </c>
      <c r="C40" s="57">
        <f t="shared" si="4"/>
        <v>287.07</v>
      </c>
      <c r="D40" s="58"/>
      <c r="E40" s="59">
        <f>E41+E42+E43+E44+E45+E46</f>
        <v>287.07</v>
      </c>
      <c r="F40" s="60">
        <f t="shared" si="5"/>
        <v>219.7</v>
      </c>
      <c r="G40" s="71">
        <f>SUM(G41:G45)</f>
        <v>211.7</v>
      </c>
      <c r="H40" s="71">
        <f>H42</f>
        <v>8</v>
      </c>
      <c r="I40" s="63">
        <f t="shared" si="7"/>
        <v>1196</v>
      </c>
      <c r="J40" s="64">
        <f>J41+J42+J43+J44+J45</f>
        <v>1196</v>
      </c>
      <c r="K40" s="65"/>
      <c r="L40" s="64">
        <f t="shared" si="8"/>
        <v>1538.2</v>
      </c>
      <c r="M40" s="64">
        <f>M41+M42+M43+M44+M45+M46</f>
        <v>1538.2</v>
      </c>
      <c r="N40" s="64">
        <f t="shared" ref="N40:Q40" si="21">N41+N42+N43+N44+N45+N46</f>
        <v>0</v>
      </c>
      <c r="O40" s="64"/>
      <c r="P40" s="64">
        <f t="shared" si="10"/>
        <v>438.32</v>
      </c>
      <c r="Q40" s="64">
        <f t="shared" si="21"/>
        <v>438.32</v>
      </c>
      <c r="R40" s="64"/>
      <c r="S40" s="64"/>
      <c r="T40" s="64">
        <f t="shared" si="11"/>
        <v>3679.2900000000004</v>
      </c>
      <c r="U40" s="64">
        <f t="shared" si="17"/>
        <v>3384.2200000000003</v>
      </c>
      <c r="V40" s="64">
        <f t="shared" si="16"/>
        <v>295.07</v>
      </c>
      <c r="W40" s="47">
        <f t="shared" ref="W40:W73" si="22">O40+S40</f>
        <v>0</v>
      </c>
      <c r="X40" s="42"/>
    </row>
    <row r="41" spans="1:24" s="14" customFormat="1" ht="69.75" customHeight="1">
      <c r="A41" s="12" t="s">
        <v>13</v>
      </c>
      <c r="B41" s="13" t="s">
        <v>51</v>
      </c>
      <c r="C41" s="57">
        <f t="shared" si="4"/>
        <v>0</v>
      </c>
      <c r="D41" s="58"/>
      <c r="E41" s="59">
        <v>0</v>
      </c>
      <c r="F41" s="60"/>
      <c r="G41" s="61"/>
      <c r="H41" s="61"/>
      <c r="I41" s="63"/>
      <c r="J41" s="64"/>
      <c r="K41" s="65"/>
      <c r="L41" s="64">
        <f t="shared" si="8"/>
        <v>0</v>
      </c>
      <c r="M41" s="64"/>
      <c r="N41" s="64"/>
      <c r="O41" s="64"/>
      <c r="P41" s="64">
        <f t="shared" si="10"/>
        <v>0</v>
      </c>
      <c r="Q41" s="64"/>
      <c r="R41" s="64"/>
      <c r="S41" s="64"/>
      <c r="T41" s="64">
        <f t="shared" si="11"/>
        <v>0</v>
      </c>
      <c r="U41" s="64">
        <f t="shared" si="17"/>
        <v>0</v>
      </c>
      <c r="V41" s="64">
        <f t="shared" si="16"/>
        <v>0</v>
      </c>
      <c r="W41" s="47">
        <f t="shared" si="22"/>
        <v>0</v>
      </c>
      <c r="X41" s="42"/>
    </row>
    <row r="42" spans="1:24" s="14" customFormat="1" ht="75.75" customHeight="1">
      <c r="A42" s="12" t="s">
        <v>15</v>
      </c>
      <c r="B42" s="23" t="s">
        <v>52</v>
      </c>
      <c r="C42" s="57">
        <f t="shared" si="4"/>
        <v>24</v>
      </c>
      <c r="D42" s="58"/>
      <c r="E42" s="59">
        <f>0.024*1000</f>
        <v>24</v>
      </c>
      <c r="F42" s="60">
        <f t="shared" si="5"/>
        <v>8</v>
      </c>
      <c r="G42" s="61"/>
      <c r="H42" s="61">
        <f>0.008*1000</f>
        <v>8</v>
      </c>
      <c r="I42" s="63">
        <f t="shared" si="7"/>
        <v>0</v>
      </c>
      <c r="J42" s="64"/>
      <c r="K42" s="65"/>
      <c r="L42" s="64">
        <f t="shared" si="8"/>
        <v>87.5</v>
      </c>
      <c r="M42" s="64">
        <v>87.5</v>
      </c>
      <c r="N42" s="64"/>
      <c r="O42" s="64"/>
      <c r="P42" s="64">
        <f t="shared" si="10"/>
        <v>0</v>
      </c>
      <c r="Q42" s="64"/>
      <c r="R42" s="64"/>
      <c r="S42" s="64"/>
      <c r="T42" s="64">
        <f t="shared" si="11"/>
        <v>119.5</v>
      </c>
      <c r="U42" s="64">
        <f t="shared" si="17"/>
        <v>87.5</v>
      </c>
      <c r="V42" s="64">
        <f t="shared" si="16"/>
        <v>32</v>
      </c>
      <c r="W42" s="47">
        <f t="shared" si="22"/>
        <v>0</v>
      </c>
      <c r="X42" s="42"/>
    </row>
    <row r="43" spans="1:24" s="14" customFormat="1" ht="45" customHeight="1">
      <c r="A43" s="12" t="s">
        <v>44</v>
      </c>
      <c r="B43" s="24" t="s">
        <v>53</v>
      </c>
      <c r="C43" s="57">
        <f t="shared" si="4"/>
        <v>0</v>
      </c>
      <c r="D43" s="58"/>
      <c r="E43" s="59">
        <v>0</v>
      </c>
      <c r="F43" s="60">
        <f t="shared" si="5"/>
        <v>0</v>
      </c>
      <c r="G43" s="61"/>
      <c r="H43" s="61"/>
      <c r="I43" s="63">
        <f t="shared" si="7"/>
        <v>0</v>
      </c>
      <c r="J43" s="64"/>
      <c r="K43" s="65"/>
      <c r="L43" s="64">
        <f t="shared" si="8"/>
        <v>0</v>
      </c>
      <c r="M43" s="64"/>
      <c r="N43" s="64"/>
      <c r="O43" s="64"/>
      <c r="P43" s="64">
        <f t="shared" si="10"/>
        <v>0</v>
      </c>
      <c r="Q43" s="64"/>
      <c r="R43" s="64"/>
      <c r="S43" s="64"/>
      <c r="T43" s="64">
        <f t="shared" si="11"/>
        <v>0</v>
      </c>
      <c r="U43" s="64">
        <f t="shared" si="17"/>
        <v>0</v>
      </c>
      <c r="V43" s="64">
        <f t="shared" si="16"/>
        <v>0</v>
      </c>
      <c r="W43" s="47">
        <f t="shared" si="22"/>
        <v>0</v>
      </c>
      <c r="X43" s="42"/>
    </row>
    <row r="44" spans="1:24" s="14" customFormat="1" ht="36" customHeight="1">
      <c r="A44" s="12" t="s">
        <v>46</v>
      </c>
      <c r="B44" s="25" t="s">
        <v>54</v>
      </c>
      <c r="C44" s="57">
        <f t="shared" si="4"/>
        <v>0</v>
      </c>
      <c r="D44" s="58"/>
      <c r="E44" s="59">
        <v>0</v>
      </c>
      <c r="F44" s="60">
        <f t="shared" si="5"/>
        <v>0</v>
      </c>
      <c r="G44" s="74"/>
      <c r="H44" s="74"/>
      <c r="I44" s="63">
        <f t="shared" si="7"/>
        <v>0</v>
      </c>
      <c r="J44" s="64"/>
      <c r="K44" s="65"/>
      <c r="L44" s="64">
        <f t="shared" si="8"/>
        <v>0</v>
      </c>
      <c r="M44" s="64"/>
      <c r="N44" s="64"/>
      <c r="O44" s="64"/>
      <c r="P44" s="64">
        <f t="shared" si="10"/>
        <v>0</v>
      </c>
      <c r="Q44" s="64"/>
      <c r="R44" s="64"/>
      <c r="S44" s="64"/>
      <c r="T44" s="64">
        <f t="shared" si="11"/>
        <v>0</v>
      </c>
      <c r="U44" s="64">
        <f t="shared" si="17"/>
        <v>0</v>
      </c>
      <c r="V44" s="64">
        <f t="shared" si="16"/>
        <v>0</v>
      </c>
      <c r="W44" s="47">
        <f t="shared" si="22"/>
        <v>0</v>
      </c>
      <c r="X44" s="42"/>
    </row>
    <row r="45" spans="1:24" s="14" customFormat="1" ht="25.5" customHeight="1">
      <c r="A45" s="12" t="s">
        <v>48</v>
      </c>
      <c r="B45" s="23" t="s">
        <v>55</v>
      </c>
      <c r="C45" s="57">
        <f t="shared" si="4"/>
        <v>0</v>
      </c>
      <c r="D45" s="58"/>
      <c r="E45" s="59">
        <v>0</v>
      </c>
      <c r="F45" s="60">
        <f t="shared" si="5"/>
        <v>211.7</v>
      </c>
      <c r="G45" s="74">
        <f>0.2117*1000</f>
        <v>211.7</v>
      </c>
      <c r="H45" s="74"/>
      <c r="I45" s="63">
        <f t="shared" si="7"/>
        <v>1196</v>
      </c>
      <c r="J45" s="64">
        <v>1196</v>
      </c>
      <c r="K45" s="65"/>
      <c r="L45" s="64">
        <f t="shared" si="8"/>
        <v>1450.7</v>
      </c>
      <c r="M45" s="64">
        <f>1450.7</f>
        <v>1450.7</v>
      </c>
      <c r="N45" s="64"/>
      <c r="O45" s="64"/>
      <c r="P45" s="64">
        <f t="shared" si="10"/>
        <v>438.32</v>
      </c>
      <c r="Q45" s="64">
        <f>438.32</f>
        <v>438.32</v>
      </c>
      <c r="R45" s="64"/>
      <c r="S45" s="64"/>
      <c r="T45" s="64">
        <f t="shared" si="11"/>
        <v>3296.7200000000003</v>
      </c>
      <c r="U45" s="64">
        <f t="shared" si="17"/>
        <v>3296.7200000000003</v>
      </c>
      <c r="V45" s="64">
        <f t="shared" si="16"/>
        <v>0</v>
      </c>
      <c r="W45" s="47">
        <f t="shared" si="22"/>
        <v>0</v>
      </c>
      <c r="X45" s="42"/>
    </row>
    <row r="46" spans="1:24" s="14" customFormat="1" ht="25.5" customHeight="1">
      <c r="A46" s="12" t="s">
        <v>56</v>
      </c>
      <c r="B46" s="23" t="s">
        <v>57</v>
      </c>
      <c r="C46" s="57">
        <f t="shared" si="4"/>
        <v>263.07</v>
      </c>
      <c r="D46" s="58"/>
      <c r="E46" s="59">
        <v>263.07</v>
      </c>
      <c r="F46" s="60"/>
      <c r="G46" s="74"/>
      <c r="H46" s="74"/>
      <c r="I46" s="63"/>
      <c r="J46" s="64"/>
      <c r="K46" s="65"/>
      <c r="L46" s="64">
        <f t="shared" si="8"/>
        <v>0</v>
      </c>
      <c r="M46" s="64"/>
      <c r="N46" s="64"/>
      <c r="O46" s="64"/>
      <c r="P46" s="64">
        <f t="shared" si="10"/>
        <v>0</v>
      </c>
      <c r="Q46" s="64"/>
      <c r="R46" s="64"/>
      <c r="S46" s="64"/>
      <c r="T46" s="64">
        <f t="shared" si="11"/>
        <v>263.07</v>
      </c>
      <c r="U46" s="64">
        <f t="shared" si="17"/>
        <v>0</v>
      </c>
      <c r="V46" s="64">
        <f t="shared" si="16"/>
        <v>263.07</v>
      </c>
      <c r="W46" s="47">
        <f t="shared" si="22"/>
        <v>0</v>
      </c>
      <c r="X46" s="42"/>
    </row>
    <row r="47" spans="1:24" s="14" customFormat="1" ht="51" customHeight="1">
      <c r="A47" s="15">
        <v>4</v>
      </c>
      <c r="B47" s="25" t="s">
        <v>58</v>
      </c>
      <c r="C47" s="57">
        <f t="shared" si="4"/>
        <v>6</v>
      </c>
      <c r="D47" s="58"/>
      <c r="E47" s="59">
        <f>E48+E50+E51+E52+E53</f>
        <v>6</v>
      </c>
      <c r="F47" s="60"/>
      <c r="G47" s="71"/>
      <c r="H47" s="71"/>
      <c r="I47" s="63"/>
      <c r="J47" s="64"/>
      <c r="K47" s="65"/>
      <c r="L47" s="64">
        <f t="shared" si="8"/>
        <v>0</v>
      </c>
      <c r="M47" s="64"/>
      <c r="N47" s="64"/>
      <c r="O47" s="64"/>
      <c r="P47" s="64">
        <f t="shared" si="10"/>
        <v>0</v>
      </c>
      <c r="Q47" s="64"/>
      <c r="R47" s="64"/>
      <c r="S47" s="64"/>
      <c r="T47" s="64">
        <f t="shared" si="11"/>
        <v>6</v>
      </c>
      <c r="U47" s="64">
        <f t="shared" si="17"/>
        <v>0</v>
      </c>
      <c r="V47" s="64">
        <f t="shared" si="16"/>
        <v>6</v>
      </c>
      <c r="W47" s="47">
        <f t="shared" si="22"/>
        <v>0</v>
      </c>
      <c r="X47" s="42"/>
    </row>
    <row r="48" spans="1:24" s="14" customFormat="1" ht="94.5" customHeight="1">
      <c r="A48" s="15" t="s">
        <v>13</v>
      </c>
      <c r="B48" s="23" t="s">
        <v>59</v>
      </c>
      <c r="C48" s="57">
        <f t="shared" si="4"/>
        <v>0</v>
      </c>
      <c r="D48" s="58"/>
      <c r="E48" s="59"/>
      <c r="F48" s="60"/>
      <c r="G48" s="76"/>
      <c r="H48" s="76"/>
      <c r="I48" s="63"/>
      <c r="J48" s="64"/>
      <c r="K48" s="65"/>
      <c r="L48" s="64">
        <f t="shared" si="8"/>
        <v>0</v>
      </c>
      <c r="M48" s="64"/>
      <c r="N48" s="64"/>
      <c r="O48" s="64"/>
      <c r="P48" s="64">
        <f t="shared" si="10"/>
        <v>0</v>
      </c>
      <c r="Q48" s="64"/>
      <c r="R48" s="64"/>
      <c r="S48" s="64"/>
      <c r="T48" s="64">
        <f t="shared" si="11"/>
        <v>0</v>
      </c>
      <c r="U48" s="64">
        <f t="shared" si="17"/>
        <v>0</v>
      </c>
      <c r="V48" s="64">
        <f t="shared" si="16"/>
        <v>0</v>
      </c>
      <c r="W48" s="47">
        <f t="shared" si="22"/>
        <v>0</v>
      </c>
      <c r="X48" s="42"/>
    </row>
    <row r="49" spans="1:24" s="14" customFormat="1" ht="128.25" hidden="1" customHeight="1">
      <c r="A49" s="15"/>
      <c r="B49" s="23" t="s">
        <v>60</v>
      </c>
      <c r="C49" s="57">
        <f t="shared" si="4"/>
        <v>0</v>
      </c>
      <c r="D49" s="58"/>
      <c r="E49" s="59">
        <v>0</v>
      </c>
      <c r="F49" s="60">
        <f t="shared" si="5"/>
        <v>0</v>
      </c>
      <c r="G49" s="76"/>
      <c r="H49" s="76"/>
      <c r="I49" s="63">
        <f t="shared" si="7"/>
        <v>0</v>
      </c>
      <c r="J49" s="64"/>
      <c r="K49" s="65"/>
      <c r="L49" s="64">
        <f t="shared" si="8"/>
        <v>0</v>
      </c>
      <c r="M49" s="64"/>
      <c r="N49" s="64"/>
      <c r="O49" s="64"/>
      <c r="P49" s="64">
        <f t="shared" si="10"/>
        <v>0</v>
      </c>
      <c r="Q49" s="64"/>
      <c r="R49" s="64"/>
      <c r="S49" s="64"/>
      <c r="T49" s="64">
        <f t="shared" si="11"/>
        <v>0</v>
      </c>
      <c r="U49" s="64">
        <f t="shared" si="17"/>
        <v>0</v>
      </c>
      <c r="V49" s="64">
        <f t="shared" si="16"/>
        <v>0</v>
      </c>
      <c r="W49" s="47">
        <f t="shared" si="22"/>
        <v>0</v>
      </c>
      <c r="X49" s="42"/>
    </row>
    <row r="50" spans="1:24" s="14" customFormat="1" ht="94.5" customHeight="1">
      <c r="A50" s="15" t="s">
        <v>15</v>
      </c>
      <c r="B50" s="13" t="s">
        <v>61</v>
      </c>
      <c r="C50" s="57">
        <f t="shared" si="4"/>
        <v>6</v>
      </c>
      <c r="D50" s="58"/>
      <c r="E50" s="59">
        <f>0.006*1000</f>
        <v>6</v>
      </c>
      <c r="F50" s="60"/>
      <c r="G50" s="76"/>
      <c r="H50" s="76"/>
      <c r="I50" s="63"/>
      <c r="J50" s="64"/>
      <c r="K50" s="65"/>
      <c r="L50" s="64">
        <f t="shared" si="8"/>
        <v>0</v>
      </c>
      <c r="M50" s="64"/>
      <c r="N50" s="64"/>
      <c r="O50" s="64"/>
      <c r="P50" s="64">
        <f t="shared" si="10"/>
        <v>0</v>
      </c>
      <c r="Q50" s="64"/>
      <c r="R50" s="64"/>
      <c r="S50" s="64"/>
      <c r="T50" s="64">
        <f t="shared" si="11"/>
        <v>6</v>
      </c>
      <c r="U50" s="64">
        <f t="shared" si="17"/>
        <v>0</v>
      </c>
      <c r="V50" s="64">
        <f t="shared" si="16"/>
        <v>6</v>
      </c>
      <c r="W50" s="47">
        <f t="shared" si="22"/>
        <v>0</v>
      </c>
      <c r="X50" s="42"/>
    </row>
    <row r="51" spans="1:24" s="14" customFormat="1" ht="93.75" customHeight="1">
      <c r="A51" s="15" t="s">
        <v>44</v>
      </c>
      <c r="B51" s="26" t="s">
        <v>62</v>
      </c>
      <c r="C51" s="57">
        <f t="shared" si="4"/>
        <v>0</v>
      </c>
      <c r="D51" s="58"/>
      <c r="E51" s="59"/>
      <c r="F51" s="60"/>
      <c r="G51" s="74"/>
      <c r="H51" s="74"/>
      <c r="I51" s="63"/>
      <c r="J51" s="64"/>
      <c r="K51" s="65"/>
      <c r="L51" s="64">
        <f t="shared" si="8"/>
        <v>0</v>
      </c>
      <c r="M51" s="64"/>
      <c r="N51" s="64"/>
      <c r="O51" s="64"/>
      <c r="P51" s="64">
        <f t="shared" si="10"/>
        <v>0</v>
      </c>
      <c r="Q51" s="64"/>
      <c r="R51" s="64"/>
      <c r="S51" s="64"/>
      <c r="T51" s="64">
        <f t="shared" si="11"/>
        <v>0</v>
      </c>
      <c r="U51" s="64">
        <f t="shared" si="17"/>
        <v>0</v>
      </c>
      <c r="V51" s="64">
        <f t="shared" si="16"/>
        <v>0</v>
      </c>
      <c r="W51" s="47">
        <f t="shared" si="22"/>
        <v>0</v>
      </c>
      <c r="X51" s="42"/>
    </row>
    <row r="52" spans="1:24" s="14" customFormat="1" ht="54.75" customHeight="1">
      <c r="A52" s="15" t="s">
        <v>46</v>
      </c>
      <c r="B52" s="27" t="s">
        <v>63</v>
      </c>
      <c r="C52" s="57">
        <f t="shared" si="4"/>
        <v>0</v>
      </c>
      <c r="D52" s="58"/>
      <c r="E52" s="59"/>
      <c r="F52" s="60"/>
      <c r="G52" s="74"/>
      <c r="H52" s="74"/>
      <c r="I52" s="63"/>
      <c r="J52" s="64"/>
      <c r="K52" s="65"/>
      <c r="L52" s="64">
        <f t="shared" si="8"/>
        <v>0</v>
      </c>
      <c r="M52" s="64"/>
      <c r="N52" s="64"/>
      <c r="O52" s="64"/>
      <c r="P52" s="64">
        <f t="shared" si="10"/>
        <v>0</v>
      </c>
      <c r="Q52" s="64"/>
      <c r="R52" s="64"/>
      <c r="S52" s="64"/>
      <c r="T52" s="64">
        <f t="shared" si="11"/>
        <v>0</v>
      </c>
      <c r="U52" s="64">
        <f t="shared" si="17"/>
        <v>0</v>
      </c>
      <c r="V52" s="64">
        <f t="shared" si="16"/>
        <v>0</v>
      </c>
      <c r="W52" s="47">
        <f t="shared" si="22"/>
        <v>0</v>
      </c>
      <c r="X52" s="42"/>
    </row>
    <row r="53" spans="1:24" s="14" customFormat="1" ht="55.5" customHeight="1">
      <c r="A53" s="15" t="s">
        <v>48</v>
      </c>
      <c r="B53" s="28" t="s">
        <v>64</v>
      </c>
      <c r="C53" s="57">
        <f t="shared" si="4"/>
        <v>0</v>
      </c>
      <c r="D53" s="58"/>
      <c r="E53" s="59"/>
      <c r="F53" s="60"/>
      <c r="G53" s="74"/>
      <c r="H53" s="74"/>
      <c r="I53" s="63"/>
      <c r="J53" s="64"/>
      <c r="K53" s="65"/>
      <c r="L53" s="64">
        <f t="shared" si="8"/>
        <v>0</v>
      </c>
      <c r="M53" s="64"/>
      <c r="N53" s="64"/>
      <c r="O53" s="64"/>
      <c r="P53" s="64">
        <f t="shared" si="10"/>
        <v>0</v>
      </c>
      <c r="Q53" s="64"/>
      <c r="R53" s="64"/>
      <c r="S53" s="64"/>
      <c r="T53" s="64">
        <f t="shared" si="11"/>
        <v>0</v>
      </c>
      <c r="U53" s="64">
        <f t="shared" si="17"/>
        <v>0</v>
      </c>
      <c r="V53" s="64">
        <f t="shared" si="16"/>
        <v>0</v>
      </c>
      <c r="W53" s="47">
        <f t="shared" si="22"/>
        <v>0</v>
      </c>
      <c r="X53" s="42"/>
    </row>
    <row r="54" spans="1:24" s="14" customFormat="1" ht="20.25" customHeight="1">
      <c r="A54" s="12">
        <v>5</v>
      </c>
      <c r="B54" s="13" t="s">
        <v>65</v>
      </c>
      <c r="C54" s="57">
        <f t="shared" si="4"/>
        <v>196.92000000000002</v>
      </c>
      <c r="D54" s="58"/>
      <c r="E54" s="59">
        <f>E55+E60</f>
        <v>196.92000000000002</v>
      </c>
      <c r="F54" s="60">
        <f t="shared" si="5"/>
        <v>244.14599999999999</v>
      </c>
      <c r="G54" s="71">
        <f>G55+G60</f>
        <v>58.145000000000003</v>
      </c>
      <c r="H54" s="71">
        <f>H55+H60</f>
        <v>186.00099999999998</v>
      </c>
      <c r="I54" s="63">
        <f t="shared" si="7"/>
        <v>287</v>
      </c>
      <c r="J54" s="64">
        <f>J55</f>
        <v>97.600000000000009</v>
      </c>
      <c r="K54" s="65">
        <f>K55+K60</f>
        <v>189.4</v>
      </c>
      <c r="L54" s="64">
        <f t="shared" si="8"/>
        <v>316.56</v>
      </c>
      <c r="M54" s="64">
        <f>M55</f>
        <v>125.56</v>
      </c>
      <c r="N54" s="64">
        <f t="shared" ref="N54:R54" si="23">N55+N60</f>
        <v>191</v>
      </c>
      <c r="O54" s="64"/>
      <c r="P54" s="64">
        <f t="shared" si="10"/>
        <v>197.4</v>
      </c>
      <c r="Q54" s="64">
        <f t="shared" si="23"/>
        <v>0</v>
      </c>
      <c r="R54" s="64">
        <f t="shared" si="23"/>
        <v>197.4</v>
      </c>
      <c r="S54" s="64"/>
      <c r="T54" s="64">
        <f t="shared" si="11"/>
        <v>1242.0260000000001</v>
      </c>
      <c r="U54" s="64">
        <f t="shared" si="17"/>
        <v>281.30500000000001</v>
      </c>
      <c r="V54" s="64">
        <f t="shared" si="16"/>
        <v>960.721</v>
      </c>
      <c r="W54" s="47">
        <f t="shared" si="22"/>
        <v>0</v>
      </c>
      <c r="X54" s="42"/>
    </row>
    <row r="55" spans="1:24" s="14" customFormat="1" ht="24" customHeight="1">
      <c r="A55" s="12" t="s">
        <v>13</v>
      </c>
      <c r="B55" s="13" t="s">
        <v>66</v>
      </c>
      <c r="C55" s="57">
        <f t="shared" si="4"/>
        <v>92.52000000000001</v>
      </c>
      <c r="D55" s="58"/>
      <c r="E55" s="59">
        <f>E56+E57+E58</f>
        <v>92.52000000000001</v>
      </c>
      <c r="F55" s="60">
        <f t="shared" si="5"/>
        <v>138.24600000000001</v>
      </c>
      <c r="G55" s="71">
        <f t="shared" ref="G55" si="24">SUM(G56:G58)</f>
        <v>58.145000000000003</v>
      </c>
      <c r="H55" s="71">
        <f>H56+H57+H58</f>
        <v>80.100999999999999</v>
      </c>
      <c r="I55" s="63">
        <f t="shared" si="7"/>
        <v>173</v>
      </c>
      <c r="J55" s="64">
        <f>J58+J59</f>
        <v>97.600000000000009</v>
      </c>
      <c r="K55" s="65">
        <f>K56+K57+K58</f>
        <v>75.400000000000006</v>
      </c>
      <c r="L55" s="64">
        <f t="shared" si="8"/>
        <v>204.57999999999998</v>
      </c>
      <c r="M55" s="64">
        <f>M58+M59</f>
        <v>125.56</v>
      </c>
      <c r="N55" s="64">
        <f t="shared" ref="N55:R55" si="25">N56+N57+N58+N59</f>
        <v>79.02</v>
      </c>
      <c r="O55" s="64"/>
      <c r="P55" s="64">
        <f t="shared" si="10"/>
        <v>83.4</v>
      </c>
      <c r="Q55" s="64">
        <f t="shared" si="25"/>
        <v>0</v>
      </c>
      <c r="R55" s="64">
        <f t="shared" si="25"/>
        <v>83.4</v>
      </c>
      <c r="S55" s="64"/>
      <c r="T55" s="64">
        <f t="shared" si="11"/>
        <v>691.74600000000009</v>
      </c>
      <c r="U55" s="64">
        <f t="shared" si="17"/>
        <v>281.30500000000001</v>
      </c>
      <c r="V55" s="64">
        <f t="shared" si="16"/>
        <v>410.44100000000003</v>
      </c>
      <c r="W55" s="47">
        <f t="shared" si="22"/>
        <v>0</v>
      </c>
      <c r="X55" s="42"/>
    </row>
    <row r="56" spans="1:24" s="14" customFormat="1" ht="48" customHeight="1">
      <c r="A56" s="18" t="s">
        <v>18</v>
      </c>
      <c r="B56" s="25" t="s">
        <v>67</v>
      </c>
      <c r="C56" s="57">
        <f t="shared" si="4"/>
        <v>7</v>
      </c>
      <c r="D56" s="58"/>
      <c r="E56" s="59">
        <f>0.007*1000</f>
        <v>7</v>
      </c>
      <c r="F56" s="60">
        <f t="shared" si="5"/>
        <v>7.9809999999999999</v>
      </c>
      <c r="G56" s="61"/>
      <c r="H56" s="61">
        <f>0.007981*1000</f>
        <v>7.9809999999999999</v>
      </c>
      <c r="I56" s="63">
        <f t="shared" si="7"/>
        <v>0</v>
      </c>
      <c r="J56" s="64"/>
      <c r="K56" s="65"/>
      <c r="L56" s="64">
        <f t="shared" si="8"/>
        <v>0</v>
      </c>
      <c r="M56" s="64"/>
      <c r="N56" s="64"/>
      <c r="O56" s="64"/>
      <c r="P56" s="64">
        <f t="shared" si="10"/>
        <v>0</v>
      </c>
      <c r="Q56" s="64"/>
      <c r="R56" s="64"/>
      <c r="S56" s="64"/>
      <c r="T56" s="64">
        <f t="shared" si="11"/>
        <v>14.981</v>
      </c>
      <c r="U56" s="64">
        <f t="shared" si="17"/>
        <v>0</v>
      </c>
      <c r="V56" s="64">
        <f t="shared" si="16"/>
        <v>14.981</v>
      </c>
      <c r="W56" s="47">
        <f t="shared" si="22"/>
        <v>0</v>
      </c>
      <c r="X56" s="42"/>
    </row>
    <row r="57" spans="1:24" s="14" customFormat="1" ht="56.25">
      <c r="A57" s="18" t="s">
        <v>18</v>
      </c>
      <c r="B57" s="25" t="s">
        <v>68</v>
      </c>
      <c r="C57" s="57">
        <f t="shared" si="4"/>
        <v>23</v>
      </c>
      <c r="D57" s="58"/>
      <c r="E57" s="59">
        <f>0.023*1000</f>
        <v>23</v>
      </c>
      <c r="F57" s="60">
        <f t="shared" si="5"/>
        <v>2</v>
      </c>
      <c r="G57" s="61"/>
      <c r="H57" s="61">
        <f>0.002*1000</f>
        <v>2</v>
      </c>
      <c r="I57" s="63">
        <f t="shared" si="7"/>
        <v>0</v>
      </c>
      <c r="J57" s="64"/>
      <c r="K57" s="65"/>
      <c r="L57" s="64"/>
      <c r="M57" s="64" t="s">
        <v>69</v>
      </c>
      <c r="N57" s="64"/>
      <c r="O57" s="64"/>
      <c r="P57" s="64">
        <f t="shared" si="10"/>
        <v>0</v>
      </c>
      <c r="Q57" s="64"/>
      <c r="R57" s="64"/>
      <c r="S57" s="64"/>
      <c r="T57" s="64">
        <f t="shared" si="11"/>
        <v>25</v>
      </c>
      <c r="U57" s="64">
        <v>0</v>
      </c>
      <c r="V57" s="64">
        <f t="shared" si="16"/>
        <v>25</v>
      </c>
      <c r="W57" s="47">
        <f t="shared" si="22"/>
        <v>0</v>
      </c>
      <c r="X57" s="42"/>
    </row>
    <row r="58" spans="1:24" s="14" customFormat="1" ht="53.25" customHeight="1">
      <c r="A58" s="18" t="s">
        <v>18</v>
      </c>
      <c r="B58" s="25" t="s">
        <v>70</v>
      </c>
      <c r="C58" s="57">
        <f t="shared" si="4"/>
        <v>62.52</v>
      </c>
      <c r="D58" s="58"/>
      <c r="E58" s="59">
        <f>0.06252*1000</f>
        <v>62.52</v>
      </c>
      <c r="F58" s="60">
        <f t="shared" si="5"/>
        <v>128.26500000000001</v>
      </c>
      <c r="G58" s="61">
        <f>0.058145*1000</f>
        <v>58.145000000000003</v>
      </c>
      <c r="H58" s="61">
        <f>(0.02412+0.046)*1000</f>
        <v>70.12</v>
      </c>
      <c r="I58" s="63">
        <f t="shared" si="7"/>
        <v>118.10000000000001</v>
      </c>
      <c r="J58" s="64">
        <f>42.7</f>
        <v>42.7</v>
      </c>
      <c r="K58" s="65">
        <v>75.400000000000006</v>
      </c>
      <c r="L58" s="64">
        <f t="shared" si="8"/>
        <v>94.02</v>
      </c>
      <c r="M58" s="64">
        <v>15</v>
      </c>
      <c r="N58" s="64">
        <v>79.02</v>
      </c>
      <c r="O58" s="64"/>
      <c r="P58" s="64">
        <f t="shared" si="10"/>
        <v>83.4</v>
      </c>
      <c r="Q58" s="64"/>
      <c r="R58" s="64">
        <v>83.4</v>
      </c>
      <c r="S58" s="64"/>
      <c r="T58" s="64">
        <f t="shared" si="11"/>
        <v>486.30500000000006</v>
      </c>
      <c r="U58" s="64">
        <f t="shared" ref="U58:U73" si="26">D58+G58+J58+M58+Q58</f>
        <v>115.845</v>
      </c>
      <c r="V58" s="64">
        <f t="shared" si="16"/>
        <v>370.46000000000004</v>
      </c>
      <c r="W58" s="47">
        <f t="shared" si="22"/>
        <v>0</v>
      </c>
      <c r="X58" s="42"/>
    </row>
    <row r="59" spans="1:24" s="14" customFormat="1" ht="36.75" customHeight="1">
      <c r="A59" s="18" t="s">
        <v>18</v>
      </c>
      <c r="B59" s="25" t="s">
        <v>71</v>
      </c>
      <c r="C59" s="57">
        <f t="shared" si="4"/>
        <v>0</v>
      </c>
      <c r="D59" s="58"/>
      <c r="E59" s="59"/>
      <c r="F59" s="60"/>
      <c r="G59" s="61"/>
      <c r="H59" s="61"/>
      <c r="I59" s="63">
        <f t="shared" si="7"/>
        <v>54.900000000000006</v>
      </c>
      <c r="J59" s="64">
        <f>14.3+19.1+1.5+20</f>
        <v>54.900000000000006</v>
      </c>
      <c r="K59" s="65"/>
      <c r="L59" s="64">
        <f t="shared" si="8"/>
        <v>110.56</v>
      </c>
      <c r="M59" s="64">
        <f>44+66.56</f>
        <v>110.56</v>
      </c>
      <c r="N59" s="64"/>
      <c r="O59" s="64"/>
      <c r="P59" s="64">
        <f t="shared" si="10"/>
        <v>0</v>
      </c>
      <c r="Q59" s="64"/>
      <c r="R59" s="64"/>
      <c r="S59" s="64"/>
      <c r="T59" s="64">
        <f t="shared" si="11"/>
        <v>165.46</v>
      </c>
      <c r="U59" s="64">
        <f t="shared" si="26"/>
        <v>165.46</v>
      </c>
      <c r="V59" s="64">
        <f t="shared" si="16"/>
        <v>0</v>
      </c>
      <c r="W59" s="47">
        <f t="shared" si="22"/>
        <v>0</v>
      </c>
      <c r="X59" s="42"/>
    </row>
    <row r="60" spans="1:24" s="14" customFormat="1" ht="33.75">
      <c r="A60" s="12" t="s">
        <v>15</v>
      </c>
      <c r="B60" s="13" t="s">
        <v>72</v>
      </c>
      <c r="C60" s="57">
        <f t="shared" si="4"/>
        <v>104.4</v>
      </c>
      <c r="D60" s="58"/>
      <c r="E60" s="59">
        <f>E61+E62</f>
        <v>104.4</v>
      </c>
      <c r="F60" s="60">
        <f t="shared" si="5"/>
        <v>105.89999999999999</v>
      </c>
      <c r="G60" s="71">
        <f t="shared" ref="G60" si="27">SUM(G61:G62)</f>
        <v>0</v>
      </c>
      <c r="H60" s="71">
        <f>H61+H62</f>
        <v>105.89999999999999</v>
      </c>
      <c r="I60" s="63">
        <f t="shared" si="7"/>
        <v>114</v>
      </c>
      <c r="J60" s="64"/>
      <c r="K60" s="65">
        <f>K61</f>
        <v>114</v>
      </c>
      <c r="L60" s="64">
        <f t="shared" si="8"/>
        <v>111.98</v>
      </c>
      <c r="M60" s="64"/>
      <c r="N60" s="64">
        <f t="shared" ref="N60:R60" si="28">N61+N62</f>
        <v>111.98</v>
      </c>
      <c r="O60" s="64"/>
      <c r="P60" s="64">
        <f t="shared" si="10"/>
        <v>114</v>
      </c>
      <c r="Q60" s="64">
        <f t="shared" si="28"/>
        <v>0</v>
      </c>
      <c r="R60" s="64">
        <f t="shared" si="28"/>
        <v>114</v>
      </c>
      <c r="S60" s="64"/>
      <c r="T60" s="64">
        <f t="shared" si="11"/>
        <v>550.28</v>
      </c>
      <c r="U60" s="64">
        <f t="shared" si="26"/>
        <v>0</v>
      </c>
      <c r="V60" s="64">
        <f t="shared" si="16"/>
        <v>550.28</v>
      </c>
      <c r="W60" s="47">
        <f t="shared" si="22"/>
        <v>0</v>
      </c>
      <c r="X60" s="42"/>
    </row>
    <row r="61" spans="1:24" s="14" customFormat="1" ht="45.75" customHeight="1">
      <c r="A61" s="18" t="s">
        <v>18</v>
      </c>
      <c r="B61" s="13" t="s">
        <v>73</v>
      </c>
      <c r="C61" s="57">
        <f t="shared" si="4"/>
        <v>104.4</v>
      </c>
      <c r="D61" s="58"/>
      <c r="E61" s="59">
        <f>0.1044*1000</f>
        <v>104.4</v>
      </c>
      <c r="F61" s="60">
        <f t="shared" si="5"/>
        <v>105.89999999999999</v>
      </c>
      <c r="G61" s="61"/>
      <c r="H61" s="61">
        <f>0.1059*1000</f>
        <v>105.89999999999999</v>
      </c>
      <c r="I61" s="63">
        <f t="shared" si="7"/>
        <v>114</v>
      </c>
      <c r="J61" s="64"/>
      <c r="K61" s="65">
        <f>114</f>
        <v>114</v>
      </c>
      <c r="L61" s="64">
        <f t="shared" si="8"/>
        <v>111.98</v>
      </c>
      <c r="M61" s="64"/>
      <c r="N61" s="64">
        <f>111.98</f>
        <v>111.98</v>
      </c>
      <c r="O61" s="64"/>
      <c r="P61" s="64">
        <f t="shared" si="10"/>
        <v>114</v>
      </c>
      <c r="Q61" s="64"/>
      <c r="R61" s="64">
        <v>114</v>
      </c>
      <c r="S61" s="64"/>
      <c r="T61" s="64">
        <f t="shared" si="11"/>
        <v>550.28</v>
      </c>
      <c r="U61" s="64">
        <f t="shared" si="26"/>
        <v>0</v>
      </c>
      <c r="V61" s="64">
        <f t="shared" si="16"/>
        <v>550.28</v>
      </c>
      <c r="W61" s="47">
        <f t="shared" si="22"/>
        <v>0</v>
      </c>
      <c r="X61" s="42"/>
    </row>
    <row r="62" spans="1:24" s="14" customFormat="1" ht="50.25" customHeight="1">
      <c r="A62" s="18" t="s">
        <v>18</v>
      </c>
      <c r="B62" s="13" t="s">
        <v>74</v>
      </c>
      <c r="C62" s="57">
        <f t="shared" si="4"/>
        <v>0</v>
      </c>
      <c r="D62" s="58"/>
      <c r="E62" s="59">
        <v>0</v>
      </c>
      <c r="F62" s="60">
        <f t="shared" si="5"/>
        <v>0</v>
      </c>
      <c r="G62" s="61"/>
      <c r="H62" s="61"/>
      <c r="I62" s="63">
        <f t="shared" si="7"/>
        <v>0</v>
      </c>
      <c r="J62" s="64"/>
      <c r="K62" s="65"/>
      <c r="L62" s="64">
        <f t="shared" si="8"/>
        <v>0</v>
      </c>
      <c r="M62" s="64"/>
      <c r="N62" s="64"/>
      <c r="O62" s="64"/>
      <c r="P62" s="64">
        <f t="shared" si="10"/>
        <v>0</v>
      </c>
      <c r="Q62" s="64"/>
      <c r="R62" s="64"/>
      <c r="S62" s="64"/>
      <c r="T62" s="64">
        <f t="shared" si="11"/>
        <v>0</v>
      </c>
      <c r="U62" s="64">
        <f t="shared" si="26"/>
        <v>0</v>
      </c>
      <c r="V62" s="64">
        <f t="shared" si="16"/>
        <v>0</v>
      </c>
      <c r="W62" s="47">
        <f t="shared" si="22"/>
        <v>0</v>
      </c>
      <c r="X62" s="42"/>
    </row>
    <row r="63" spans="1:24" s="9" customFormat="1" ht="27.75" customHeight="1">
      <c r="A63" s="19" t="s">
        <v>75</v>
      </c>
      <c r="B63" s="29" t="s">
        <v>76</v>
      </c>
      <c r="C63" s="44">
        <f t="shared" si="4"/>
        <v>532.37</v>
      </c>
      <c r="D63" s="51"/>
      <c r="E63" s="52">
        <f>E64+E66+E69+E70+E71</f>
        <v>532.37</v>
      </c>
      <c r="F63" s="53">
        <f>G63+H63</f>
        <v>712.44</v>
      </c>
      <c r="G63" s="54">
        <f>G64+G66+G69+G70+G71+G73</f>
        <v>199.44</v>
      </c>
      <c r="H63" s="54">
        <f>H64+H66+H69+H70+H71+H73+H68</f>
        <v>513</v>
      </c>
      <c r="I63" s="48">
        <f t="shared" si="7"/>
        <v>730.90000000000009</v>
      </c>
      <c r="J63" s="55">
        <f>J64+J66+J68+J69+J70+J71+J72+J73</f>
        <v>258.2</v>
      </c>
      <c r="K63" s="56">
        <f>K64+K66+K69+K70+K71</f>
        <v>472.70000000000005</v>
      </c>
      <c r="L63" s="55">
        <f t="shared" si="8"/>
        <v>991.32799999999997</v>
      </c>
      <c r="M63" s="55">
        <f>M64+M66+M68+M69+M70+M71+M72+M73</f>
        <v>395.70799999999997</v>
      </c>
      <c r="N63" s="55">
        <f>N64+N66+N68+N69+N70+N71+N72+N73</f>
        <v>576.03</v>
      </c>
      <c r="O63" s="55">
        <f>O64+O66+O68+O69+O70+O71+O72+O73</f>
        <v>19.59</v>
      </c>
      <c r="P63" s="55">
        <f t="shared" si="10"/>
        <v>946.68000000000006</v>
      </c>
      <c r="Q63" s="55">
        <f>Q64+Q66+Q68+Q69+Q70+Q71+Q72+Q73</f>
        <v>436.68</v>
      </c>
      <c r="R63" s="55">
        <f>R64+R66+R68+R69+R70+R71+R72+R73</f>
        <v>502</v>
      </c>
      <c r="S63" s="55">
        <f>S64+S66+S68+S69+S70+S71+S72+S73</f>
        <v>8</v>
      </c>
      <c r="T63" s="55">
        <f t="shared" si="11"/>
        <v>3913.7179999999998</v>
      </c>
      <c r="U63" s="55">
        <f t="shared" si="26"/>
        <v>1290.028</v>
      </c>
      <c r="V63" s="55">
        <f t="shared" si="16"/>
        <v>2596.1</v>
      </c>
      <c r="W63" s="47">
        <f t="shared" si="22"/>
        <v>27.59</v>
      </c>
      <c r="X63" s="41"/>
    </row>
    <row r="64" spans="1:24" s="14" customFormat="1" ht="63.75" customHeight="1">
      <c r="A64" s="12">
        <v>1</v>
      </c>
      <c r="B64" s="13" t="s">
        <v>77</v>
      </c>
      <c r="C64" s="57">
        <f t="shared" si="4"/>
        <v>60.87</v>
      </c>
      <c r="D64" s="58"/>
      <c r="E64" s="59">
        <f>0.06087*1000</f>
        <v>60.87</v>
      </c>
      <c r="F64" s="60">
        <f t="shared" si="5"/>
        <v>40</v>
      </c>
      <c r="G64" s="77"/>
      <c r="H64" s="77">
        <f>H65</f>
        <v>40</v>
      </c>
      <c r="I64" s="63">
        <f t="shared" si="7"/>
        <v>49</v>
      </c>
      <c r="J64" s="64"/>
      <c r="K64" s="65">
        <v>49</v>
      </c>
      <c r="L64" s="64">
        <f t="shared" si="8"/>
        <v>39.869999999999997</v>
      </c>
      <c r="M64" s="64"/>
      <c r="N64" s="64">
        <f>39.87</f>
        <v>39.869999999999997</v>
      </c>
      <c r="O64" s="64"/>
      <c r="P64" s="64">
        <f t="shared" si="10"/>
        <v>50</v>
      </c>
      <c r="Q64" s="64"/>
      <c r="R64" s="64">
        <v>50</v>
      </c>
      <c r="S64" s="64"/>
      <c r="T64" s="64">
        <f t="shared" si="11"/>
        <v>239.74</v>
      </c>
      <c r="U64" s="64">
        <f t="shared" si="26"/>
        <v>0</v>
      </c>
      <c r="V64" s="64">
        <f t="shared" si="16"/>
        <v>239.74</v>
      </c>
      <c r="W64" s="47">
        <f t="shared" si="22"/>
        <v>0</v>
      </c>
      <c r="X64" s="42"/>
    </row>
    <row r="65" spans="1:24" s="14" customFormat="1" ht="15" hidden="1" customHeight="1">
      <c r="A65" s="12"/>
      <c r="B65" s="13" t="s">
        <v>78</v>
      </c>
      <c r="C65" s="57">
        <f t="shared" si="4"/>
        <v>6.087E-2</v>
      </c>
      <c r="D65" s="58"/>
      <c r="E65" s="59">
        <v>6.087E-2</v>
      </c>
      <c r="F65" s="60">
        <f t="shared" si="5"/>
        <v>40</v>
      </c>
      <c r="G65" s="77"/>
      <c r="H65" s="77">
        <f>0.04*1000</f>
        <v>40</v>
      </c>
      <c r="I65" s="63">
        <f t="shared" si="7"/>
        <v>0</v>
      </c>
      <c r="J65" s="64"/>
      <c r="K65" s="65"/>
      <c r="L65" s="64">
        <f t="shared" si="8"/>
        <v>0</v>
      </c>
      <c r="M65" s="64"/>
      <c r="N65" s="64"/>
      <c r="O65" s="64"/>
      <c r="P65" s="64">
        <f t="shared" si="10"/>
        <v>0</v>
      </c>
      <c r="Q65" s="64"/>
      <c r="R65" s="64"/>
      <c r="S65" s="64"/>
      <c r="T65" s="64">
        <f t="shared" si="11"/>
        <v>40.060870000000001</v>
      </c>
      <c r="U65" s="64">
        <f t="shared" si="26"/>
        <v>0</v>
      </c>
      <c r="V65" s="64">
        <f t="shared" si="16"/>
        <v>40.060870000000001</v>
      </c>
      <c r="W65" s="47">
        <f t="shared" si="22"/>
        <v>0</v>
      </c>
      <c r="X65" s="42"/>
    </row>
    <row r="66" spans="1:24" s="14" customFormat="1" ht="80.25" customHeight="1">
      <c r="A66" s="12">
        <v>2</v>
      </c>
      <c r="B66" s="13" t="s">
        <v>79</v>
      </c>
      <c r="C66" s="57">
        <f t="shared" si="4"/>
        <v>8</v>
      </c>
      <c r="D66" s="58"/>
      <c r="E66" s="59">
        <f>0.008*1000</f>
        <v>8</v>
      </c>
      <c r="F66" s="60">
        <f t="shared" si="5"/>
        <v>10</v>
      </c>
      <c r="G66" s="61"/>
      <c r="H66" s="61">
        <f>H67</f>
        <v>10</v>
      </c>
      <c r="I66" s="63">
        <f t="shared" si="7"/>
        <v>7.6</v>
      </c>
      <c r="J66" s="64"/>
      <c r="K66" s="65">
        <v>7.6</v>
      </c>
      <c r="L66" s="64">
        <f t="shared" si="8"/>
        <v>8</v>
      </c>
      <c r="M66" s="64"/>
      <c r="N66" s="64">
        <v>8</v>
      </c>
      <c r="O66" s="64"/>
      <c r="P66" s="64">
        <f t="shared" si="10"/>
        <v>8</v>
      </c>
      <c r="Q66" s="64"/>
      <c r="R66" s="64">
        <v>8</v>
      </c>
      <c r="S66" s="64"/>
      <c r="T66" s="64">
        <f t="shared" si="11"/>
        <v>41.6</v>
      </c>
      <c r="U66" s="64">
        <f t="shared" si="26"/>
        <v>0</v>
      </c>
      <c r="V66" s="64">
        <f t="shared" si="16"/>
        <v>41.6</v>
      </c>
      <c r="W66" s="47">
        <f t="shared" si="22"/>
        <v>0</v>
      </c>
      <c r="X66" s="42"/>
    </row>
    <row r="67" spans="1:24" s="14" customFormat="1" ht="9" hidden="1" customHeight="1">
      <c r="A67" s="12">
        <v>3</v>
      </c>
      <c r="B67" s="13" t="s">
        <v>80</v>
      </c>
      <c r="C67" s="57">
        <f t="shared" si="4"/>
        <v>8.0000000000000002E-3</v>
      </c>
      <c r="D67" s="58"/>
      <c r="E67" s="59">
        <v>8.0000000000000002E-3</v>
      </c>
      <c r="F67" s="60">
        <f t="shared" si="5"/>
        <v>10</v>
      </c>
      <c r="G67" s="61"/>
      <c r="H67" s="61">
        <f>0.01*1000</f>
        <v>10</v>
      </c>
      <c r="I67" s="63">
        <f t="shared" si="7"/>
        <v>0</v>
      </c>
      <c r="J67" s="64"/>
      <c r="K67" s="65"/>
      <c r="L67" s="64">
        <f t="shared" si="8"/>
        <v>0</v>
      </c>
      <c r="M67" s="64"/>
      <c r="N67" s="64"/>
      <c r="O67" s="64"/>
      <c r="P67" s="64">
        <f t="shared" si="10"/>
        <v>0</v>
      </c>
      <c r="Q67" s="64"/>
      <c r="R67" s="64"/>
      <c r="S67" s="64"/>
      <c r="T67" s="64">
        <f t="shared" si="11"/>
        <v>10.007999999999999</v>
      </c>
      <c r="U67" s="64">
        <f t="shared" si="26"/>
        <v>0</v>
      </c>
      <c r="V67" s="64">
        <f t="shared" si="16"/>
        <v>10.007999999999999</v>
      </c>
      <c r="W67" s="47">
        <f t="shared" si="22"/>
        <v>0</v>
      </c>
      <c r="X67" s="42"/>
    </row>
    <row r="68" spans="1:24" s="14" customFormat="1" ht="30.75" customHeight="1">
      <c r="A68" s="12">
        <v>3</v>
      </c>
      <c r="B68" s="13" t="s">
        <v>81</v>
      </c>
      <c r="C68" s="57">
        <f t="shared" si="4"/>
        <v>0</v>
      </c>
      <c r="D68" s="58"/>
      <c r="E68" s="59"/>
      <c r="F68" s="60">
        <f t="shared" si="5"/>
        <v>12.5</v>
      </c>
      <c r="G68" s="61"/>
      <c r="H68" s="61">
        <v>12.5</v>
      </c>
      <c r="I68" s="63">
        <f t="shared" si="7"/>
        <v>20.3</v>
      </c>
      <c r="J68" s="64">
        <v>20.3</v>
      </c>
      <c r="K68" s="65"/>
      <c r="L68" s="64">
        <f t="shared" si="8"/>
        <v>0</v>
      </c>
      <c r="M68" s="64"/>
      <c r="N68" s="64"/>
      <c r="O68" s="64"/>
      <c r="P68" s="64">
        <f t="shared" si="10"/>
        <v>0</v>
      </c>
      <c r="Q68" s="64"/>
      <c r="R68" s="64"/>
      <c r="S68" s="64"/>
      <c r="T68" s="64">
        <f t="shared" si="11"/>
        <v>32.799999999999997</v>
      </c>
      <c r="U68" s="64">
        <f t="shared" si="26"/>
        <v>20.3</v>
      </c>
      <c r="V68" s="64">
        <f t="shared" si="16"/>
        <v>12.5</v>
      </c>
      <c r="W68" s="47">
        <f t="shared" si="22"/>
        <v>0</v>
      </c>
      <c r="X68" s="42"/>
    </row>
    <row r="69" spans="1:24" s="14" customFormat="1" ht="45.75" customHeight="1">
      <c r="A69" s="12">
        <v>4</v>
      </c>
      <c r="B69" s="13" t="s">
        <v>82</v>
      </c>
      <c r="C69" s="57">
        <f t="shared" si="4"/>
        <v>11.4</v>
      </c>
      <c r="D69" s="58"/>
      <c r="E69" s="59">
        <f>0.0114*1000</f>
        <v>11.4</v>
      </c>
      <c r="F69" s="60">
        <f t="shared" si="5"/>
        <v>27.5</v>
      </c>
      <c r="G69" s="61">
        <f>(0.0065+0.021)*1000</f>
        <v>27.5</v>
      </c>
      <c r="H69" s="61"/>
      <c r="I69" s="63">
        <f t="shared" si="7"/>
        <v>8.3000000000000007</v>
      </c>
      <c r="J69" s="64">
        <v>8.3000000000000007</v>
      </c>
      <c r="K69" s="65"/>
      <c r="L69" s="64">
        <f t="shared" si="8"/>
        <v>11.67</v>
      </c>
      <c r="M69" s="64">
        <v>5.88</v>
      </c>
      <c r="N69" s="64"/>
      <c r="O69" s="64">
        <v>5.79</v>
      </c>
      <c r="P69" s="64">
        <f t="shared" si="10"/>
        <v>17.600000000000001</v>
      </c>
      <c r="Q69" s="64">
        <v>9.6</v>
      </c>
      <c r="R69" s="64"/>
      <c r="S69" s="64">
        <v>8</v>
      </c>
      <c r="T69" s="64">
        <f t="shared" si="11"/>
        <v>76.47</v>
      </c>
      <c r="U69" s="64">
        <f t="shared" si="26"/>
        <v>51.28</v>
      </c>
      <c r="V69" s="64">
        <f t="shared" si="16"/>
        <v>11.4</v>
      </c>
      <c r="W69" s="47">
        <f t="shared" si="22"/>
        <v>13.79</v>
      </c>
      <c r="X69" s="42"/>
    </row>
    <row r="70" spans="1:24" s="14" customFormat="1" ht="45.75" customHeight="1">
      <c r="A70" s="12">
        <v>5</v>
      </c>
      <c r="B70" s="13" t="s">
        <v>83</v>
      </c>
      <c r="C70" s="57">
        <f t="shared" si="4"/>
        <v>36.900000000000006</v>
      </c>
      <c r="D70" s="58"/>
      <c r="E70" s="59">
        <f>0.0369*1000</f>
        <v>36.900000000000006</v>
      </c>
      <c r="F70" s="60">
        <f t="shared" si="5"/>
        <v>158.79</v>
      </c>
      <c r="G70" s="61">
        <f>(0.01489+0.1062)*1000</f>
        <v>121.09</v>
      </c>
      <c r="H70" s="61">
        <f>0.0377*1000</f>
        <v>37.699999999999996</v>
      </c>
      <c r="I70" s="63">
        <f t="shared" si="7"/>
        <v>144.69999999999999</v>
      </c>
      <c r="J70" s="64">
        <f>33.6+111.1</f>
        <v>144.69999999999999</v>
      </c>
      <c r="K70" s="65"/>
      <c r="L70" s="64">
        <f t="shared" si="8"/>
        <v>201.86799999999999</v>
      </c>
      <c r="M70" s="64">
        <f>68.033+36.265+97.57</f>
        <v>201.86799999999999</v>
      </c>
      <c r="N70" s="64"/>
      <c r="O70" s="64"/>
      <c r="P70" s="64">
        <f t="shared" si="10"/>
        <v>232.48000000000002</v>
      </c>
      <c r="Q70" s="64">
        <f>88.98+93+50.5</f>
        <v>232.48000000000002</v>
      </c>
      <c r="R70" s="64"/>
      <c r="S70" s="64"/>
      <c r="T70" s="64">
        <f t="shared" si="11"/>
        <v>774.73799999999994</v>
      </c>
      <c r="U70" s="64">
        <f t="shared" si="26"/>
        <v>700.13799999999992</v>
      </c>
      <c r="V70" s="64">
        <f t="shared" si="16"/>
        <v>74.599999999999994</v>
      </c>
      <c r="W70" s="47">
        <f t="shared" si="22"/>
        <v>0</v>
      </c>
      <c r="X70" s="42"/>
    </row>
    <row r="71" spans="1:24" s="14" customFormat="1" ht="60.75" customHeight="1">
      <c r="A71" s="12">
        <v>6</v>
      </c>
      <c r="B71" s="13" t="s">
        <v>84</v>
      </c>
      <c r="C71" s="57">
        <f t="shared" si="4"/>
        <v>415.2</v>
      </c>
      <c r="D71" s="58"/>
      <c r="E71" s="59">
        <f>0.4152*1000</f>
        <v>415.2</v>
      </c>
      <c r="F71" s="60">
        <f t="shared" si="5"/>
        <v>412.8</v>
      </c>
      <c r="G71" s="61"/>
      <c r="H71" s="61">
        <f>0.4128*1000</f>
        <v>412.8</v>
      </c>
      <c r="I71" s="63">
        <f t="shared" si="7"/>
        <v>416.1</v>
      </c>
      <c r="J71" s="64"/>
      <c r="K71" s="65">
        <v>416.1</v>
      </c>
      <c r="L71" s="64">
        <f t="shared" si="8"/>
        <v>528.16</v>
      </c>
      <c r="M71" s="64"/>
      <c r="N71" s="64">
        <v>528.16</v>
      </c>
      <c r="O71" s="64"/>
      <c r="P71" s="64">
        <f t="shared" si="10"/>
        <v>444</v>
      </c>
      <c r="Q71" s="64"/>
      <c r="R71" s="64">
        <v>444</v>
      </c>
      <c r="S71" s="64"/>
      <c r="T71" s="64">
        <f t="shared" si="11"/>
        <v>2216.2599999999998</v>
      </c>
      <c r="U71" s="64">
        <f t="shared" si="26"/>
        <v>0</v>
      </c>
      <c r="V71" s="64">
        <f t="shared" si="16"/>
        <v>2216.2599999999998</v>
      </c>
      <c r="W71" s="47">
        <f t="shared" si="22"/>
        <v>0</v>
      </c>
      <c r="X71" s="42"/>
    </row>
    <row r="72" spans="1:24" s="14" customFormat="1" ht="36" customHeight="1">
      <c r="A72" s="12">
        <v>7</v>
      </c>
      <c r="B72" s="13" t="s">
        <v>85</v>
      </c>
      <c r="C72" s="57">
        <f t="shared" si="4"/>
        <v>0</v>
      </c>
      <c r="D72" s="58"/>
      <c r="E72" s="59"/>
      <c r="F72" s="60"/>
      <c r="G72" s="61"/>
      <c r="H72" s="61"/>
      <c r="I72" s="63">
        <f t="shared" si="7"/>
        <v>84.9</v>
      </c>
      <c r="J72" s="64">
        <v>84.9</v>
      </c>
      <c r="K72" s="65"/>
      <c r="L72" s="64">
        <f t="shared" si="8"/>
        <v>94.759999999999991</v>
      </c>
      <c r="M72" s="64">
        <v>80.959999999999994</v>
      </c>
      <c r="N72" s="64"/>
      <c r="O72" s="64">
        <v>13.8</v>
      </c>
      <c r="P72" s="64">
        <f t="shared" si="10"/>
        <v>104.6</v>
      </c>
      <c r="Q72" s="64">
        <v>104.6</v>
      </c>
      <c r="R72" s="64"/>
      <c r="S72" s="64"/>
      <c r="T72" s="64">
        <f t="shared" si="11"/>
        <v>284.26000000000005</v>
      </c>
      <c r="U72" s="64">
        <f t="shared" si="26"/>
        <v>270.46000000000004</v>
      </c>
      <c r="V72" s="64">
        <f t="shared" si="16"/>
        <v>0</v>
      </c>
      <c r="W72" s="47">
        <f t="shared" si="22"/>
        <v>13.8</v>
      </c>
      <c r="X72" s="42"/>
    </row>
    <row r="73" spans="1:24" s="14" customFormat="1" ht="43.5" customHeight="1">
      <c r="A73" s="12">
        <v>8</v>
      </c>
      <c r="B73" s="13" t="s">
        <v>94</v>
      </c>
      <c r="C73" s="57">
        <f t="shared" si="4"/>
        <v>0</v>
      </c>
      <c r="D73" s="58"/>
      <c r="E73" s="59"/>
      <c r="F73" s="60"/>
      <c r="G73" s="61">
        <f>0.05085*1000</f>
        <v>50.85</v>
      </c>
      <c r="H73" s="61"/>
      <c r="I73" s="63">
        <f t="shared" si="7"/>
        <v>0</v>
      </c>
      <c r="J73" s="64"/>
      <c r="K73" s="65"/>
      <c r="L73" s="64">
        <f t="shared" ref="L73" si="29">M73+N73+O73</f>
        <v>107</v>
      </c>
      <c r="M73" s="64">
        <f>90+17</f>
        <v>107</v>
      </c>
      <c r="N73" s="64"/>
      <c r="O73" s="64"/>
      <c r="P73" s="64">
        <f t="shared" ref="P73" si="30">Q73+R73+S73</f>
        <v>90</v>
      </c>
      <c r="Q73" s="64">
        <v>90</v>
      </c>
      <c r="R73" s="64"/>
      <c r="S73" s="64"/>
      <c r="T73" s="64">
        <f t="shared" ref="T73" si="31">U73+V73+W73</f>
        <v>247.85</v>
      </c>
      <c r="U73" s="64">
        <f t="shared" si="26"/>
        <v>247.85</v>
      </c>
      <c r="V73" s="64">
        <f t="shared" si="16"/>
        <v>0</v>
      </c>
      <c r="W73" s="47">
        <f t="shared" si="22"/>
        <v>0</v>
      </c>
      <c r="X73" s="42"/>
    </row>
    <row r="77" spans="1:24">
      <c r="G77" s="30"/>
    </row>
  </sheetData>
  <mergeCells count="12">
    <mergeCell ref="A1:W1"/>
    <mergeCell ref="F4:W4"/>
    <mergeCell ref="A5:A7"/>
    <mergeCell ref="B5:B7"/>
    <mergeCell ref="C5:E6"/>
    <mergeCell ref="F5:H6"/>
    <mergeCell ref="I5:K6"/>
    <mergeCell ref="A3:W3"/>
    <mergeCell ref="A2:W2"/>
    <mergeCell ref="T5:W6"/>
    <mergeCell ref="L5:O6"/>
    <mergeCell ref="P5:S6"/>
  </mergeCells>
  <printOptions horizontalCentered="1"/>
  <pageMargins left="0.24" right="0" top="0.25" bottom="0.2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giai đoạn 2021-2024</vt:lpstr>
      <vt:lpstr>A</vt:lpstr>
      <vt:lpstr>'giai đoạn 2021-2024'!Print_Area</vt:lpstr>
      <vt:lpstr>'giai đoạn 2021-2024'!Print_Titles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2025-02-14T07:03:35Z</cp:lastPrinted>
  <dcterms:created xsi:type="dcterms:W3CDTF">2024-04-11T09:03:52Z</dcterms:created>
  <dcterms:modified xsi:type="dcterms:W3CDTF">2025-10-02T08:28:45Z</dcterms:modified>
</cp:coreProperties>
</file>